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Password="CC43" lockStructure="1"/>
  <bookViews>
    <workbookView xWindow="-15" yWindow="-60" windowWidth="19320" windowHeight="14505" tabRatio="737" activeTab="8"/>
  </bookViews>
  <sheets>
    <sheet name="Contents" sheetId="16" r:id="rId1"/>
    <sheet name="Headings" sheetId="20" r:id="rId2"/>
    <sheet name="Salaries" sheetId="22" r:id="rId3"/>
    <sheet name="Certify" sheetId="21" r:id="rId4"/>
    <sheet name="F110" sheetId="1" r:id="rId5"/>
    <sheet name="F118" sheetId="2" r:id="rId6"/>
    <sheet name="F148" sheetId="3" r:id="rId7"/>
    <sheet name="F149" sheetId="18" r:id="rId8"/>
    <sheet name="F150" sheetId="4" r:id="rId9"/>
    <sheet name="F155" sheetId="17" r:id="rId10"/>
    <sheet name="F162" sheetId="6" r:id="rId11"/>
    <sheet name="F194" sheetId="7" r:id="rId12"/>
    <sheet name="F195" sheetId="8" r:id="rId13"/>
    <sheet name="F239" sheetId="9" r:id="rId14"/>
    <sheet name="F241A" sheetId="10" r:id="rId15"/>
    <sheet name="F250" sheetId="11" r:id="rId16"/>
    <sheet name="AMEND" sheetId="13" r:id="rId17"/>
    <sheet name="CashBalances" sheetId="19" r:id="rId18"/>
  </sheets>
  <externalReferences>
    <externalReference r:id="rId19"/>
    <externalReference r:id="rId20"/>
  </externalReferences>
  <definedNames>
    <definedName name="CC.P">'F110'!$B$1:$M$63</definedName>
    <definedName name="_xlnm.Criteria">'F150'!$A$1504:$A$1551</definedName>
    <definedName name="Form_4_212_150">'F150'!$A$1:$J$142</definedName>
    <definedName name="_xlnm.Print_Area" localSheetId="16">AMEND!$A$27:$F$55</definedName>
    <definedName name="_xlnm.Print_Area" localSheetId="17">CashBalances!$A$1:$E$61</definedName>
    <definedName name="_xlnm.Print_Area" localSheetId="3">Certify!$A$1:$K$50</definedName>
    <definedName name="_xlnm.Print_Area" localSheetId="0">Contents!$A$1:$C$25</definedName>
    <definedName name="_xlnm.Print_Area" localSheetId="4">'F110'!$A$1:$N$1044</definedName>
    <definedName name="_xlnm.Print_Area" localSheetId="5">'F118'!$A$1:$G$62</definedName>
    <definedName name="_xlnm.Print_Area" localSheetId="6">'F148'!$A$1:$I$53</definedName>
    <definedName name="_xlnm.Print_Area" localSheetId="7">'F149'!$A$1:$G$45</definedName>
    <definedName name="_xlnm.Print_Area" localSheetId="8">'F150'!$A$1:$J$284</definedName>
    <definedName name="_xlnm.Print_Area" localSheetId="9">'F155'!$A$1:$K$46</definedName>
    <definedName name="_xlnm.Print_Area" localSheetId="10">'F162'!$A$1:$J$49</definedName>
    <definedName name="_xlnm.Print_Area" localSheetId="11">'F194'!$A$1:$Q$103</definedName>
    <definedName name="_xlnm.Print_Area" localSheetId="12">'F195'!$A$1:$I$33</definedName>
    <definedName name="_xlnm.Print_Area" localSheetId="13">'F239'!$A$1:$I$65</definedName>
    <definedName name="_xlnm.Print_Area" localSheetId="14">F241A!$A$1:$I$50</definedName>
    <definedName name="_xlnm.Print_Area" localSheetId="15">'F250'!$A$1:$G$37</definedName>
    <definedName name="_xlnm.Print_Area" localSheetId="1">Headings!$A$1:$K$30</definedName>
    <definedName name="_xlnm.Print_Area" localSheetId="2">Salaries!$A$1:$L$48</definedName>
    <definedName name="USD">'F150'!$AC$3:$AC$6</definedName>
  </definedNames>
  <calcPr calcId="145621" iterate="1" fullPrecision="0"/>
</workbook>
</file>

<file path=xl/calcChain.xml><?xml version="1.0" encoding="utf-8"?>
<calcChain xmlns="http://schemas.openxmlformats.org/spreadsheetml/2006/main">
  <c r="B6" i="20" l="1"/>
  <c r="B7" i="20"/>
  <c r="B10" i="20"/>
  <c r="B18" i="20"/>
  <c r="F1" i="22"/>
  <c r="B4" i="22"/>
  <c r="F4" i="22"/>
  <c r="J4" i="22"/>
  <c r="D6" i="22"/>
  <c r="H6" i="22"/>
  <c r="L6" i="22"/>
  <c r="D7" i="22"/>
  <c r="H7" i="22"/>
  <c r="L7" i="22"/>
  <c r="D8" i="22"/>
  <c r="H8" i="22"/>
  <c r="L8" i="22"/>
  <c r="D9" i="22"/>
  <c r="H9" i="22"/>
  <c r="L9" i="22"/>
  <c r="B66" i="22"/>
  <c r="C66" i="22"/>
  <c r="F66" i="22"/>
  <c r="G66" i="22"/>
  <c r="J66" i="22"/>
  <c r="K66" i="22"/>
  <c r="E28" i="21"/>
  <c r="E32" i="21"/>
  <c r="B2" i="1"/>
  <c r="I2" i="1"/>
  <c r="M2" i="1"/>
  <c r="M13" i="1" s="1"/>
  <c r="B6" i="1"/>
  <c r="K13" i="1"/>
  <c r="B15" i="1"/>
  <c r="E15" i="1"/>
  <c r="G15" i="1"/>
  <c r="I15" i="1"/>
  <c r="K15" i="1"/>
  <c r="M15" i="1"/>
  <c r="B17" i="1"/>
  <c r="E17" i="1"/>
  <c r="G17" i="1"/>
  <c r="G19" i="1" s="1"/>
  <c r="I17" i="1"/>
  <c r="K17" i="1"/>
  <c r="K19" i="1" s="1"/>
  <c r="M17" i="1"/>
  <c r="E19" i="1"/>
  <c r="I19" i="1"/>
  <c r="M19" i="1"/>
  <c r="B21" i="1"/>
  <c r="E21" i="1"/>
  <c r="G21" i="1"/>
  <c r="I21" i="1"/>
  <c r="K21" i="1"/>
  <c r="M21" i="1"/>
  <c r="B23" i="1"/>
  <c r="E23" i="1"/>
  <c r="G23" i="1"/>
  <c r="I23" i="1"/>
  <c r="K23" i="1"/>
  <c r="M23" i="1"/>
  <c r="B25" i="1"/>
  <c r="E25" i="1"/>
  <c r="G25" i="1"/>
  <c r="I25" i="1"/>
  <c r="K25" i="1"/>
  <c r="M25" i="1"/>
  <c r="E27" i="1"/>
  <c r="G27" i="1"/>
  <c r="I27" i="1"/>
  <c r="K27" i="1"/>
  <c r="M27" i="1"/>
  <c r="E29" i="1"/>
  <c r="G29" i="1"/>
  <c r="I29" i="1"/>
  <c r="K29" i="1"/>
  <c r="M29" i="1"/>
  <c r="E30" i="1"/>
  <c r="G30" i="1"/>
  <c r="I30" i="1"/>
  <c r="K30" i="1"/>
  <c r="M30" i="1"/>
  <c r="E31" i="1"/>
  <c r="E34" i="1" s="1"/>
  <c r="I31" i="1"/>
  <c r="I34" i="1" s="1"/>
  <c r="M31" i="1"/>
  <c r="M34" i="1" s="1"/>
  <c r="B33" i="1"/>
  <c r="B34" i="1"/>
  <c r="B38" i="1"/>
  <c r="E38" i="1"/>
  <c r="I38" i="1"/>
  <c r="M38" i="1"/>
  <c r="E40" i="1"/>
  <c r="G40" i="1"/>
  <c r="I40" i="1"/>
  <c r="K40" i="1"/>
  <c r="M40" i="1"/>
  <c r="B42" i="1"/>
  <c r="G42" i="1"/>
  <c r="K42" i="1"/>
  <c r="G43" i="1"/>
  <c r="K43" i="1"/>
  <c r="G44" i="1"/>
  <c r="I45" i="1"/>
  <c r="K44" i="1" s="1"/>
  <c r="B46" i="1"/>
  <c r="I46" i="1"/>
  <c r="M46" i="1"/>
  <c r="O46" i="1" s="1"/>
  <c r="B47" i="1"/>
  <c r="I47" i="1"/>
  <c r="B48" i="1"/>
  <c r="B49" i="1"/>
  <c r="B53" i="1"/>
  <c r="I53" i="1"/>
  <c r="M53" i="1"/>
  <c r="M54" i="1"/>
  <c r="B55" i="1"/>
  <c r="K61" i="1"/>
  <c r="B63" i="1"/>
  <c r="E63" i="1"/>
  <c r="G63" i="1"/>
  <c r="I63" i="1"/>
  <c r="K63" i="1"/>
  <c r="B65" i="1"/>
  <c r="E65" i="1"/>
  <c r="G65" i="1"/>
  <c r="G67" i="1" s="1"/>
  <c r="I65" i="1"/>
  <c r="K65" i="1"/>
  <c r="K67" i="1" s="1"/>
  <c r="C67" i="1"/>
  <c r="E67" i="1"/>
  <c r="E79" i="1" s="1"/>
  <c r="E82" i="1" s="1"/>
  <c r="I67" i="1"/>
  <c r="I79" i="1" s="1"/>
  <c r="I82" i="1" s="1"/>
  <c r="B69" i="1"/>
  <c r="E69" i="1"/>
  <c r="G69" i="1"/>
  <c r="I69" i="1"/>
  <c r="K69" i="1"/>
  <c r="B71" i="1"/>
  <c r="E71" i="1"/>
  <c r="G71" i="1"/>
  <c r="I71" i="1"/>
  <c r="K71" i="1"/>
  <c r="B73" i="1"/>
  <c r="E73" i="1"/>
  <c r="G73" i="1"/>
  <c r="I73" i="1"/>
  <c r="K73" i="1"/>
  <c r="E75" i="1"/>
  <c r="G75" i="1"/>
  <c r="I75" i="1"/>
  <c r="K75" i="1"/>
  <c r="E77" i="1"/>
  <c r="G77" i="1"/>
  <c r="I77" i="1"/>
  <c r="K77" i="1"/>
  <c r="E78" i="1"/>
  <c r="G78" i="1"/>
  <c r="I78" i="1"/>
  <c r="K78" i="1"/>
  <c r="B81" i="1"/>
  <c r="B82" i="1"/>
  <c r="B86" i="1"/>
  <c r="E86" i="1"/>
  <c r="I86" i="1"/>
  <c r="B87" i="1"/>
  <c r="E87" i="1"/>
  <c r="G87" i="1"/>
  <c r="I87" i="1"/>
  <c r="K87" i="1"/>
  <c r="G89" i="1"/>
  <c r="B90" i="1"/>
  <c r="K90" i="1"/>
  <c r="B91" i="1"/>
  <c r="G91" i="1"/>
  <c r="K91" i="1"/>
  <c r="B94" i="1"/>
  <c r="M94" i="1"/>
  <c r="M96" i="1"/>
  <c r="B98" i="1"/>
  <c r="B101" i="1"/>
  <c r="I101" i="1"/>
  <c r="M101" i="1"/>
  <c r="M102" i="1"/>
  <c r="B104" i="1"/>
  <c r="B112" i="1"/>
  <c r="E112" i="1"/>
  <c r="G112" i="1"/>
  <c r="I112" i="1"/>
  <c r="K112" i="1"/>
  <c r="M112" i="1"/>
  <c r="B114" i="1"/>
  <c r="E114" i="1"/>
  <c r="G114" i="1"/>
  <c r="I114" i="1"/>
  <c r="K114" i="1"/>
  <c r="M114" i="1"/>
  <c r="C116" i="1"/>
  <c r="E116" i="1"/>
  <c r="G116" i="1"/>
  <c r="G135" i="1" s="1"/>
  <c r="I116" i="1"/>
  <c r="K116" i="1"/>
  <c r="K135" i="1" s="1"/>
  <c r="M116" i="1"/>
  <c r="B118" i="1"/>
  <c r="E118" i="1"/>
  <c r="G118" i="1"/>
  <c r="I118" i="1"/>
  <c r="K118" i="1"/>
  <c r="M118" i="1"/>
  <c r="B120" i="1"/>
  <c r="E120" i="1"/>
  <c r="G120" i="1"/>
  <c r="I120" i="1"/>
  <c r="K120" i="1"/>
  <c r="M120" i="1"/>
  <c r="B122" i="1"/>
  <c r="E122" i="1"/>
  <c r="G122" i="1"/>
  <c r="I122" i="1"/>
  <c r="K122" i="1"/>
  <c r="M122" i="1"/>
  <c r="E124" i="1"/>
  <c r="E128" i="1" s="1"/>
  <c r="E131" i="1" s="1"/>
  <c r="G124" i="1"/>
  <c r="I124" i="1"/>
  <c r="I128" i="1" s="1"/>
  <c r="I131" i="1" s="1"/>
  <c r="K124" i="1"/>
  <c r="M124" i="1"/>
  <c r="M128" i="1" s="1"/>
  <c r="M131" i="1" s="1"/>
  <c r="E126" i="1"/>
  <c r="G126" i="1"/>
  <c r="I126" i="1"/>
  <c r="K126" i="1"/>
  <c r="M126" i="1"/>
  <c r="E127" i="1"/>
  <c r="G127" i="1"/>
  <c r="I127" i="1"/>
  <c r="K127" i="1"/>
  <c r="M127" i="1"/>
  <c r="G128" i="1"/>
  <c r="G131" i="1" s="1"/>
  <c r="K128" i="1"/>
  <c r="K131" i="1" s="1"/>
  <c r="B130" i="1"/>
  <c r="B131" i="1"/>
  <c r="B135" i="1"/>
  <c r="E135" i="1"/>
  <c r="I135" i="1"/>
  <c r="M135" i="1"/>
  <c r="B137" i="1"/>
  <c r="E137" i="1"/>
  <c r="G137" i="1"/>
  <c r="I137" i="1"/>
  <c r="K137" i="1"/>
  <c r="M137" i="1"/>
  <c r="B139" i="1"/>
  <c r="B140" i="1"/>
  <c r="B142" i="1"/>
  <c r="I142" i="1"/>
  <c r="M142" i="1"/>
  <c r="M143" i="1"/>
  <c r="B145" i="1"/>
  <c r="G150" i="1"/>
  <c r="G151" i="1"/>
  <c r="G152" i="1"/>
  <c r="B154" i="1"/>
  <c r="E154" i="1"/>
  <c r="G154" i="1"/>
  <c r="I154" i="1"/>
  <c r="K154" i="1"/>
  <c r="M154" i="1"/>
  <c r="B156" i="1"/>
  <c r="E156" i="1"/>
  <c r="G156" i="1"/>
  <c r="I156" i="1"/>
  <c r="I179" i="1" s="1"/>
  <c r="K156" i="1"/>
  <c r="M156" i="1"/>
  <c r="M179" i="1" s="1"/>
  <c r="C158" i="1"/>
  <c r="E158" i="1"/>
  <c r="E177" i="1" s="1"/>
  <c r="G158" i="1"/>
  <c r="I158" i="1"/>
  <c r="I177" i="1" s="1"/>
  <c r="K158" i="1"/>
  <c r="M158" i="1"/>
  <c r="M177" i="1" s="1"/>
  <c r="B160" i="1"/>
  <c r="E160" i="1"/>
  <c r="G160" i="1"/>
  <c r="I160" i="1"/>
  <c r="K160" i="1"/>
  <c r="M160" i="1"/>
  <c r="B162" i="1"/>
  <c r="E162" i="1"/>
  <c r="G162" i="1"/>
  <c r="I162" i="1"/>
  <c r="K162" i="1"/>
  <c r="M162" i="1"/>
  <c r="B164" i="1"/>
  <c r="E164" i="1"/>
  <c r="G164" i="1"/>
  <c r="I164" i="1"/>
  <c r="K164" i="1"/>
  <c r="M164" i="1"/>
  <c r="E166" i="1"/>
  <c r="G166" i="1"/>
  <c r="G170" i="1" s="1"/>
  <c r="G173" i="1" s="1"/>
  <c r="I166" i="1"/>
  <c r="K166" i="1"/>
  <c r="K170" i="1" s="1"/>
  <c r="K173" i="1" s="1"/>
  <c r="M166" i="1"/>
  <c r="E168" i="1"/>
  <c r="G168" i="1"/>
  <c r="I168" i="1"/>
  <c r="K168" i="1"/>
  <c r="M168" i="1"/>
  <c r="E169" i="1"/>
  <c r="G169" i="1"/>
  <c r="I169" i="1"/>
  <c r="K169" i="1"/>
  <c r="M169" i="1"/>
  <c r="E170" i="1"/>
  <c r="E173" i="1" s="1"/>
  <c r="I170" i="1"/>
  <c r="I173" i="1" s="1"/>
  <c r="M170" i="1"/>
  <c r="M173" i="1" s="1"/>
  <c r="B172" i="1"/>
  <c r="B173" i="1"/>
  <c r="B177" i="1"/>
  <c r="G177" i="1"/>
  <c r="K177" i="1"/>
  <c r="B179" i="1"/>
  <c r="E179" i="1"/>
  <c r="G179" i="1"/>
  <c r="K179" i="1"/>
  <c r="B181" i="1"/>
  <c r="B182" i="1"/>
  <c r="B184" i="1"/>
  <c r="I184" i="1"/>
  <c r="M184" i="1"/>
  <c r="M231" i="1" s="1"/>
  <c r="M185" i="1"/>
  <c r="B187" i="1"/>
  <c r="K194" i="1"/>
  <c r="B196" i="1"/>
  <c r="B198" i="1"/>
  <c r="E200" i="1"/>
  <c r="G200" i="1"/>
  <c r="G219" i="1" s="1"/>
  <c r="I200" i="1"/>
  <c r="K200" i="1"/>
  <c r="K219" i="1" s="1"/>
  <c r="M200" i="1"/>
  <c r="B202" i="1"/>
  <c r="B204" i="1"/>
  <c r="B206" i="1"/>
  <c r="E212" i="1"/>
  <c r="G212" i="1"/>
  <c r="G215" i="1" s="1"/>
  <c r="I212" i="1"/>
  <c r="K212" i="1"/>
  <c r="K215" i="1" s="1"/>
  <c r="M212" i="1"/>
  <c r="B214" i="1"/>
  <c r="B215" i="1"/>
  <c r="E215" i="1"/>
  <c r="I215" i="1"/>
  <c r="M215" i="1"/>
  <c r="B219" i="1"/>
  <c r="E219" i="1"/>
  <c r="I219" i="1"/>
  <c r="M219" i="1"/>
  <c r="B220" i="1"/>
  <c r="E220" i="1"/>
  <c r="G220" i="1"/>
  <c r="I220" i="1"/>
  <c r="K220" i="1"/>
  <c r="M220" i="1"/>
  <c r="B226" i="1"/>
  <c r="B228" i="1"/>
  <c r="B231" i="1"/>
  <c r="I231" i="1"/>
  <c r="M232" i="1"/>
  <c r="B234" i="1"/>
  <c r="K240" i="1"/>
  <c r="B242" i="1"/>
  <c r="B244" i="1"/>
  <c r="C246" i="1"/>
  <c r="E246" i="1"/>
  <c r="E258" i="1" s="1"/>
  <c r="E261" i="1" s="1"/>
  <c r="G246" i="1"/>
  <c r="I246" i="1"/>
  <c r="I258" i="1" s="1"/>
  <c r="I261" i="1" s="1"/>
  <c r="K246" i="1"/>
  <c r="B248" i="1"/>
  <c r="B250" i="1"/>
  <c r="B252" i="1"/>
  <c r="G258" i="1"/>
  <c r="K258" i="1"/>
  <c r="B260" i="1"/>
  <c r="B261" i="1"/>
  <c r="G261" i="1"/>
  <c r="K261" i="1"/>
  <c r="B265" i="1"/>
  <c r="E265" i="1"/>
  <c r="G265" i="1"/>
  <c r="I265" i="1"/>
  <c r="K265" i="1"/>
  <c r="B267" i="1"/>
  <c r="E267" i="1"/>
  <c r="G267" i="1"/>
  <c r="I267" i="1"/>
  <c r="K267" i="1"/>
  <c r="B271" i="1"/>
  <c r="B272" i="1"/>
  <c r="B274" i="1"/>
  <c r="I274" i="1"/>
  <c r="M274" i="1"/>
  <c r="M275" i="1"/>
  <c r="B277" i="1"/>
  <c r="B285" i="1"/>
  <c r="B287" i="1"/>
  <c r="C289" i="1"/>
  <c r="E289" i="1" s="1"/>
  <c r="G289" i="1"/>
  <c r="G308" i="1" s="1"/>
  <c r="K289" i="1"/>
  <c r="K308" i="1" s="1"/>
  <c r="B291" i="1"/>
  <c r="B293" i="1"/>
  <c r="B295" i="1"/>
  <c r="G301" i="1"/>
  <c r="G304" i="1" s="1"/>
  <c r="K301" i="1"/>
  <c r="K304" i="1" s="1"/>
  <c r="B303" i="1"/>
  <c r="B304" i="1"/>
  <c r="B308" i="1"/>
  <c r="B310" i="1"/>
  <c r="E310" i="1"/>
  <c r="G310" i="1"/>
  <c r="I310" i="1"/>
  <c r="K310" i="1"/>
  <c r="M310" i="1"/>
  <c r="B312" i="1"/>
  <c r="B313" i="1"/>
  <c r="B315" i="1"/>
  <c r="I315" i="1"/>
  <c r="M315" i="1"/>
  <c r="M316" i="1"/>
  <c r="B318" i="1"/>
  <c r="G323" i="1"/>
  <c r="G324" i="1"/>
  <c r="G325" i="1"/>
  <c r="B327" i="1"/>
  <c r="B329" i="1"/>
  <c r="C331" i="1"/>
  <c r="E331" i="1"/>
  <c r="E350" i="1" s="1"/>
  <c r="G331" i="1"/>
  <c r="I331" i="1"/>
  <c r="I350" i="1" s="1"/>
  <c r="K331" i="1"/>
  <c r="M331" i="1"/>
  <c r="M350" i="1" s="1"/>
  <c r="B333" i="1"/>
  <c r="B335" i="1"/>
  <c r="B337" i="1"/>
  <c r="E343" i="1"/>
  <c r="E346" i="1" s="1"/>
  <c r="G343" i="1"/>
  <c r="I343" i="1"/>
  <c r="I346" i="1" s="1"/>
  <c r="K343" i="1"/>
  <c r="M343" i="1"/>
  <c r="M346" i="1" s="1"/>
  <c r="B345" i="1"/>
  <c r="B346" i="1"/>
  <c r="G346" i="1"/>
  <c r="K346" i="1"/>
  <c r="B350" i="1"/>
  <c r="G350" i="1"/>
  <c r="K350" i="1"/>
  <c r="B352" i="1"/>
  <c r="E352" i="1"/>
  <c r="G352" i="1"/>
  <c r="I352" i="1"/>
  <c r="K352" i="1"/>
  <c r="M352" i="1"/>
  <c r="B354" i="1"/>
  <c r="B355" i="1"/>
  <c r="B357" i="1"/>
  <c r="I357" i="1"/>
  <c r="M357" i="1"/>
  <c r="B361" i="1"/>
  <c r="K368" i="1"/>
  <c r="B370" i="1"/>
  <c r="B372" i="1"/>
  <c r="E374" i="1"/>
  <c r="E393" i="1" s="1"/>
  <c r="G374" i="1"/>
  <c r="I374" i="1"/>
  <c r="I393" i="1" s="1"/>
  <c r="K374" i="1"/>
  <c r="M374" i="1"/>
  <c r="M393" i="1" s="1"/>
  <c r="B376" i="1"/>
  <c r="B378" i="1"/>
  <c r="B380" i="1"/>
  <c r="E386" i="1"/>
  <c r="E389" i="1" s="1"/>
  <c r="G386" i="1"/>
  <c r="I386" i="1"/>
  <c r="I389" i="1" s="1"/>
  <c r="K386" i="1"/>
  <c r="M386" i="1"/>
  <c r="M389" i="1" s="1"/>
  <c r="B388" i="1"/>
  <c r="B389" i="1"/>
  <c r="G389" i="1"/>
  <c r="K389" i="1"/>
  <c r="B393" i="1"/>
  <c r="G393" i="1"/>
  <c r="K393" i="1"/>
  <c r="B394" i="1"/>
  <c r="E394" i="1"/>
  <c r="G394" i="1"/>
  <c r="I394" i="1"/>
  <c r="K394" i="1"/>
  <c r="M394" i="1"/>
  <c r="B403" i="1"/>
  <c r="B404" i="1"/>
  <c r="B407" i="1"/>
  <c r="I407" i="1"/>
  <c r="M407" i="1"/>
  <c r="M408" i="1"/>
  <c r="B410" i="1"/>
  <c r="K416" i="1"/>
  <c r="B418" i="1"/>
  <c r="B420" i="1"/>
  <c r="C422" i="1"/>
  <c r="G422" i="1"/>
  <c r="G434" i="1" s="1"/>
  <c r="G437" i="1" s="1"/>
  <c r="K422" i="1"/>
  <c r="K434" i="1" s="1"/>
  <c r="K437" i="1" s="1"/>
  <c r="B424" i="1"/>
  <c r="B426" i="1"/>
  <c r="B428" i="1"/>
  <c r="B436" i="1"/>
  <c r="B437" i="1"/>
  <c r="B441" i="1"/>
  <c r="G441" i="1"/>
  <c r="K441" i="1"/>
  <c r="B443" i="1"/>
  <c r="E443" i="1"/>
  <c r="G443" i="1"/>
  <c r="I443" i="1"/>
  <c r="K443" i="1"/>
  <c r="B449" i="1"/>
  <c r="B450" i="1"/>
  <c r="B452" i="1"/>
  <c r="I452" i="1"/>
  <c r="M452" i="1"/>
  <c r="M453" i="1"/>
  <c r="B455" i="1"/>
  <c r="B463" i="1"/>
  <c r="B465" i="1"/>
  <c r="C467" i="1"/>
  <c r="E467" i="1"/>
  <c r="E486" i="1" s="1"/>
  <c r="G467" i="1"/>
  <c r="I467" i="1"/>
  <c r="I486" i="1" s="1"/>
  <c r="K467" i="1"/>
  <c r="M467" i="1"/>
  <c r="M486" i="1" s="1"/>
  <c r="B469" i="1"/>
  <c r="B471" i="1"/>
  <c r="B473" i="1"/>
  <c r="E479" i="1"/>
  <c r="E482" i="1" s="1"/>
  <c r="G479" i="1"/>
  <c r="I479" i="1"/>
  <c r="I482" i="1" s="1"/>
  <c r="K479" i="1"/>
  <c r="M479" i="1"/>
  <c r="M482" i="1" s="1"/>
  <c r="B481" i="1"/>
  <c r="B482" i="1"/>
  <c r="G482" i="1"/>
  <c r="K482" i="1"/>
  <c r="B486" i="1"/>
  <c r="G486" i="1"/>
  <c r="K486" i="1"/>
  <c r="B488" i="1"/>
  <c r="E488" i="1"/>
  <c r="G488" i="1"/>
  <c r="I488" i="1"/>
  <c r="K488" i="1"/>
  <c r="M488" i="1"/>
  <c r="B490" i="1"/>
  <c r="B491" i="1"/>
  <c r="B493" i="1"/>
  <c r="I493" i="1"/>
  <c r="M493" i="1"/>
  <c r="M494" i="1"/>
  <c r="B496" i="1"/>
  <c r="G501" i="1"/>
  <c r="G502" i="1"/>
  <c r="G503" i="1"/>
  <c r="B505" i="1"/>
  <c r="B507" i="1"/>
  <c r="C509" i="1"/>
  <c r="K509" i="1"/>
  <c r="K528" i="1" s="1"/>
  <c r="B511" i="1"/>
  <c r="B513" i="1"/>
  <c r="B515" i="1"/>
  <c r="K521" i="1"/>
  <c r="K524" i="1" s="1"/>
  <c r="B523" i="1"/>
  <c r="B524" i="1"/>
  <c r="B528" i="1"/>
  <c r="B530" i="1"/>
  <c r="E530" i="1"/>
  <c r="G530" i="1"/>
  <c r="I530" i="1"/>
  <c r="K530" i="1"/>
  <c r="M530" i="1"/>
  <c r="B532" i="1"/>
  <c r="B533" i="1"/>
  <c r="B535" i="1"/>
  <c r="I535" i="1"/>
  <c r="M535" i="1"/>
  <c r="B539" i="1"/>
  <c r="K546" i="1"/>
  <c r="M546" i="1"/>
  <c r="B548" i="1"/>
  <c r="B550" i="1"/>
  <c r="E552" i="1"/>
  <c r="G552" i="1"/>
  <c r="G571" i="1" s="1"/>
  <c r="I552" i="1"/>
  <c r="K552" i="1"/>
  <c r="K571" i="1" s="1"/>
  <c r="M552" i="1"/>
  <c r="B554" i="1"/>
  <c r="B556" i="1"/>
  <c r="B558" i="1"/>
  <c r="E564" i="1"/>
  <c r="G564" i="1"/>
  <c r="G567" i="1" s="1"/>
  <c r="I564" i="1"/>
  <c r="K564" i="1"/>
  <c r="K567" i="1" s="1"/>
  <c r="M564" i="1"/>
  <c r="B566" i="1"/>
  <c r="B567" i="1"/>
  <c r="E567" i="1"/>
  <c r="I567" i="1"/>
  <c r="M567" i="1"/>
  <c r="B571" i="1"/>
  <c r="E571" i="1"/>
  <c r="I571" i="1"/>
  <c r="M571" i="1"/>
  <c r="B572" i="1"/>
  <c r="E572" i="1"/>
  <c r="G572" i="1"/>
  <c r="I572" i="1"/>
  <c r="K572" i="1"/>
  <c r="M572" i="1"/>
  <c r="B581" i="1"/>
  <c r="B582" i="1"/>
  <c r="B585" i="1"/>
  <c r="I585" i="1"/>
  <c r="M585" i="1"/>
  <c r="M586" i="1"/>
  <c r="B588" i="1"/>
  <c r="K594" i="1"/>
  <c r="B596" i="1"/>
  <c r="B598" i="1"/>
  <c r="C600" i="1"/>
  <c r="E600" i="1"/>
  <c r="E612" i="1" s="1"/>
  <c r="E615" i="1" s="1"/>
  <c r="G600" i="1"/>
  <c r="I600" i="1"/>
  <c r="I612" i="1" s="1"/>
  <c r="I615" i="1" s="1"/>
  <c r="K600" i="1"/>
  <c r="B602" i="1"/>
  <c r="B604" i="1"/>
  <c r="B606" i="1"/>
  <c r="G612" i="1"/>
  <c r="K612" i="1"/>
  <c r="B614" i="1"/>
  <c r="B615" i="1"/>
  <c r="G615" i="1"/>
  <c r="K615" i="1"/>
  <c r="B619" i="1"/>
  <c r="E619" i="1"/>
  <c r="G619" i="1"/>
  <c r="I619" i="1"/>
  <c r="K619" i="1"/>
  <c r="B620" i="1"/>
  <c r="E620" i="1"/>
  <c r="G620" i="1"/>
  <c r="I620" i="1"/>
  <c r="K620" i="1"/>
  <c r="B622" i="1"/>
  <c r="B623" i="1"/>
  <c r="B625" i="1"/>
  <c r="I625" i="1"/>
  <c r="M625" i="1"/>
  <c r="M626" i="1"/>
  <c r="B628" i="1"/>
  <c r="B636" i="1"/>
  <c r="B638" i="1"/>
  <c r="C640" i="1"/>
  <c r="E640" i="1" s="1"/>
  <c r="G640" i="1"/>
  <c r="G659" i="1" s="1"/>
  <c r="K640" i="1"/>
  <c r="K659" i="1" s="1"/>
  <c r="B642" i="1"/>
  <c r="B644" i="1"/>
  <c r="B646" i="1"/>
  <c r="G652" i="1"/>
  <c r="G655" i="1" s="1"/>
  <c r="K652" i="1"/>
  <c r="K655" i="1" s="1"/>
  <c r="B654" i="1"/>
  <c r="B655" i="1"/>
  <c r="B659" i="1"/>
  <c r="B661" i="1"/>
  <c r="E661" i="1"/>
  <c r="G661" i="1"/>
  <c r="I661" i="1"/>
  <c r="K661" i="1"/>
  <c r="M661" i="1"/>
  <c r="B663" i="1"/>
  <c r="B664" i="1"/>
  <c r="B666" i="1"/>
  <c r="I666" i="1"/>
  <c r="M666" i="1"/>
  <c r="M667" i="1"/>
  <c r="B669" i="1"/>
  <c r="G674" i="1"/>
  <c r="G675" i="1"/>
  <c r="G676" i="1"/>
  <c r="B678" i="1"/>
  <c r="B680" i="1"/>
  <c r="C682" i="1"/>
  <c r="E682" i="1"/>
  <c r="E701" i="1" s="1"/>
  <c r="G682" i="1"/>
  <c r="I682" i="1"/>
  <c r="I701" i="1" s="1"/>
  <c r="K682" i="1"/>
  <c r="M682" i="1"/>
  <c r="M701" i="1" s="1"/>
  <c r="B684" i="1"/>
  <c r="B686" i="1"/>
  <c r="B688" i="1"/>
  <c r="E694" i="1"/>
  <c r="E697" i="1" s="1"/>
  <c r="G694" i="1"/>
  <c r="I694" i="1"/>
  <c r="I697" i="1" s="1"/>
  <c r="K694" i="1"/>
  <c r="M694" i="1"/>
  <c r="M697" i="1" s="1"/>
  <c r="B696" i="1"/>
  <c r="B697" i="1"/>
  <c r="G697" i="1"/>
  <c r="K697" i="1"/>
  <c r="B701" i="1"/>
  <c r="G701" i="1"/>
  <c r="K701" i="1"/>
  <c r="B702" i="1"/>
  <c r="E702" i="1"/>
  <c r="G702" i="1"/>
  <c r="I702" i="1"/>
  <c r="K702" i="1"/>
  <c r="M702" i="1"/>
  <c r="B704" i="1"/>
  <c r="B705" i="1"/>
  <c r="B707" i="1"/>
  <c r="I707" i="1"/>
  <c r="M707" i="1"/>
  <c r="B711" i="1"/>
  <c r="K718" i="1"/>
  <c r="M718" i="1"/>
  <c r="B720" i="1"/>
  <c r="B722" i="1"/>
  <c r="E724" i="1"/>
  <c r="E743" i="1" s="1"/>
  <c r="G724" i="1"/>
  <c r="I724" i="1"/>
  <c r="I743" i="1" s="1"/>
  <c r="K724" i="1"/>
  <c r="M724" i="1"/>
  <c r="M743" i="1" s="1"/>
  <c r="B726" i="1"/>
  <c r="B728" i="1"/>
  <c r="B730" i="1"/>
  <c r="E736" i="1"/>
  <c r="E739" i="1" s="1"/>
  <c r="G736" i="1"/>
  <c r="I736" i="1"/>
  <c r="I739" i="1" s="1"/>
  <c r="K736" i="1"/>
  <c r="M736" i="1"/>
  <c r="M739" i="1" s="1"/>
  <c r="B738" i="1"/>
  <c r="B739" i="1"/>
  <c r="G739" i="1"/>
  <c r="K739" i="1"/>
  <c r="B743" i="1"/>
  <c r="G743" i="1"/>
  <c r="K743" i="1"/>
  <c r="B744" i="1"/>
  <c r="E744" i="1"/>
  <c r="G744" i="1"/>
  <c r="I744" i="1"/>
  <c r="K744" i="1"/>
  <c r="M744" i="1"/>
  <c r="B753" i="1"/>
  <c r="B754" i="1"/>
  <c r="B757" i="1"/>
  <c r="I757" i="1"/>
  <c r="M757" i="1"/>
  <c r="M758" i="1"/>
  <c r="B760" i="1"/>
  <c r="K766" i="1"/>
  <c r="B768" i="1"/>
  <c r="B770" i="1"/>
  <c r="C772" i="1"/>
  <c r="E772" i="1" s="1"/>
  <c r="G772" i="1"/>
  <c r="G784" i="1" s="1"/>
  <c r="G787" i="1" s="1"/>
  <c r="K772" i="1"/>
  <c r="K784" i="1" s="1"/>
  <c r="K787" i="1" s="1"/>
  <c r="B774" i="1"/>
  <c r="B776" i="1"/>
  <c r="B778" i="1"/>
  <c r="B786" i="1"/>
  <c r="B787" i="1"/>
  <c r="B791" i="1"/>
  <c r="G791" i="1"/>
  <c r="K791" i="1"/>
  <c r="B792" i="1"/>
  <c r="E792" i="1"/>
  <c r="G792" i="1"/>
  <c r="I792" i="1"/>
  <c r="K792" i="1"/>
  <c r="B794" i="1"/>
  <c r="B795" i="1"/>
  <c r="B798" i="1"/>
  <c r="I798" i="1"/>
  <c r="M798" i="1"/>
  <c r="M799" i="1"/>
  <c r="B801" i="1"/>
  <c r="B809" i="1"/>
  <c r="B811" i="1"/>
  <c r="C813" i="1"/>
  <c r="E813" i="1"/>
  <c r="E832" i="1" s="1"/>
  <c r="G813" i="1"/>
  <c r="I813" i="1"/>
  <c r="I832" i="1" s="1"/>
  <c r="K813" i="1"/>
  <c r="M813" i="1"/>
  <c r="M832" i="1" s="1"/>
  <c r="B815" i="1"/>
  <c r="B817" i="1"/>
  <c r="B819" i="1"/>
  <c r="E825" i="1"/>
  <c r="E828" i="1" s="1"/>
  <c r="G825" i="1"/>
  <c r="I825" i="1"/>
  <c r="I828" i="1" s="1"/>
  <c r="K825" i="1"/>
  <c r="M825" i="1"/>
  <c r="M828" i="1" s="1"/>
  <c r="B827" i="1"/>
  <c r="B828" i="1"/>
  <c r="G828" i="1"/>
  <c r="K828" i="1"/>
  <c r="B832" i="1"/>
  <c r="G832" i="1"/>
  <c r="K832" i="1"/>
  <c r="B833" i="1"/>
  <c r="E833" i="1"/>
  <c r="G833" i="1"/>
  <c r="I833" i="1"/>
  <c r="K833" i="1"/>
  <c r="M833" i="1"/>
  <c r="B835" i="1"/>
  <c r="B836" i="1"/>
  <c r="B838" i="1"/>
  <c r="I838" i="1"/>
  <c r="M838" i="1"/>
  <c r="M879" i="1" s="1"/>
  <c r="M839" i="1"/>
  <c r="B841" i="1"/>
  <c r="G846" i="1"/>
  <c r="G847" i="1"/>
  <c r="G848" i="1"/>
  <c r="B850" i="1"/>
  <c r="B852" i="1"/>
  <c r="C854" i="1"/>
  <c r="E854" i="1" s="1"/>
  <c r="E866" i="1" s="1"/>
  <c r="G854" i="1"/>
  <c r="G873" i="1" s="1"/>
  <c r="K854" i="1"/>
  <c r="K873" i="1" s="1"/>
  <c r="B856" i="1"/>
  <c r="B858" i="1"/>
  <c r="B860" i="1"/>
  <c r="G866" i="1"/>
  <c r="G869" i="1" s="1"/>
  <c r="K866" i="1"/>
  <c r="K869" i="1" s="1"/>
  <c r="B868" i="1"/>
  <c r="B869" i="1"/>
  <c r="E869" i="1"/>
  <c r="B873" i="1"/>
  <c r="E873" i="1"/>
  <c r="B874" i="1"/>
  <c r="E874" i="1"/>
  <c r="G874" i="1"/>
  <c r="I874" i="1"/>
  <c r="K874" i="1"/>
  <c r="M874" i="1"/>
  <c r="B876" i="1"/>
  <c r="B877" i="1"/>
  <c r="B879" i="1"/>
  <c r="I879" i="1"/>
  <c r="I922" i="1" s="1"/>
  <c r="B883" i="1"/>
  <c r="K890" i="1"/>
  <c r="M890" i="1"/>
  <c r="B892" i="1"/>
  <c r="B894" i="1"/>
  <c r="E896" i="1"/>
  <c r="G896" i="1"/>
  <c r="G915" i="1" s="1"/>
  <c r="I896" i="1"/>
  <c r="K896" i="1"/>
  <c r="K915" i="1" s="1"/>
  <c r="M896" i="1"/>
  <c r="B898" i="1"/>
  <c r="B900" i="1"/>
  <c r="B902" i="1"/>
  <c r="E908" i="1"/>
  <c r="G908" i="1"/>
  <c r="G911" i="1" s="1"/>
  <c r="I908" i="1"/>
  <c r="K908" i="1"/>
  <c r="K911" i="1" s="1"/>
  <c r="M908" i="1"/>
  <c r="B910" i="1"/>
  <c r="B911" i="1"/>
  <c r="E911" i="1"/>
  <c r="I911" i="1"/>
  <c r="M911" i="1"/>
  <c r="B915" i="1"/>
  <c r="E915" i="1"/>
  <c r="I915" i="1"/>
  <c r="M915" i="1"/>
  <c r="B916" i="1"/>
  <c r="E916" i="1"/>
  <c r="G916" i="1"/>
  <c r="I916" i="1"/>
  <c r="K916" i="1"/>
  <c r="M916" i="1"/>
  <c r="B918" i="1"/>
  <c r="B919" i="1"/>
  <c r="B922" i="1"/>
  <c r="M923" i="1"/>
  <c r="B925" i="1"/>
  <c r="K931" i="1"/>
  <c r="B933" i="1"/>
  <c r="B935" i="1"/>
  <c r="C937" i="1"/>
  <c r="E937" i="1"/>
  <c r="E949" i="1" s="1"/>
  <c r="E952" i="1" s="1"/>
  <c r="G937" i="1"/>
  <c r="I937" i="1"/>
  <c r="I949" i="1" s="1"/>
  <c r="I952" i="1" s="1"/>
  <c r="K937" i="1"/>
  <c r="B939" i="1"/>
  <c r="B941" i="1"/>
  <c r="B943" i="1"/>
  <c r="G949" i="1"/>
  <c r="K949" i="1"/>
  <c r="B951" i="1"/>
  <c r="B952" i="1"/>
  <c r="G952" i="1"/>
  <c r="K952" i="1"/>
  <c r="B956" i="1"/>
  <c r="E956" i="1"/>
  <c r="G956" i="1"/>
  <c r="I956" i="1"/>
  <c r="K956" i="1"/>
  <c r="B958" i="1"/>
  <c r="E958" i="1"/>
  <c r="G958" i="1"/>
  <c r="I958" i="1"/>
  <c r="K958" i="1"/>
  <c r="B960" i="1"/>
  <c r="B961" i="1"/>
  <c r="B963" i="1"/>
  <c r="I963" i="1"/>
  <c r="M964" i="1"/>
  <c r="B966" i="1"/>
  <c r="B974" i="1"/>
  <c r="B976" i="1"/>
  <c r="C978" i="1"/>
  <c r="G978" i="1"/>
  <c r="G990" i="1" s="1"/>
  <c r="G993" i="1" s="1"/>
  <c r="K978" i="1"/>
  <c r="B980" i="1"/>
  <c r="B982" i="1"/>
  <c r="B984" i="1"/>
  <c r="K990" i="1"/>
  <c r="K993" i="1" s="1"/>
  <c r="B992" i="1"/>
  <c r="B993" i="1"/>
  <c r="B997" i="1"/>
  <c r="G997" i="1"/>
  <c r="K997" i="1"/>
  <c r="B999" i="1"/>
  <c r="E999" i="1"/>
  <c r="G999" i="1"/>
  <c r="I999" i="1"/>
  <c r="K999" i="1"/>
  <c r="M999" i="1"/>
  <c r="B1001" i="1"/>
  <c r="B1002" i="1"/>
  <c r="B1004" i="1"/>
  <c r="M1004" i="1"/>
  <c r="M1005" i="1"/>
  <c r="B1007" i="1"/>
  <c r="G1012" i="1"/>
  <c r="G1013" i="1"/>
  <c r="G1014" i="1"/>
  <c r="B1016" i="1"/>
  <c r="B1018" i="1"/>
  <c r="C1020" i="1"/>
  <c r="E1020" i="1" s="1"/>
  <c r="G1020" i="1"/>
  <c r="G1039" i="1" s="1"/>
  <c r="K1020" i="1"/>
  <c r="K1039" i="1" s="1"/>
  <c r="B1022" i="1"/>
  <c r="B1024" i="1"/>
  <c r="B1026" i="1"/>
  <c r="G1032" i="1"/>
  <c r="G1035" i="1" s="1"/>
  <c r="K1032" i="1"/>
  <c r="K1035" i="1" s="1"/>
  <c r="B1034" i="1"/>
  <c r="B1035" i="1"/>
  <c r="B1039" i="1"/>
  <c r="B1040" i="1"/>
  <c r="E1040" i="1"/>
  <c r="G1040" i="1"/>
  <c r="I1040" i="1"/>
  <c r="K1040" i="1"/>
  <c r="M1040" i="1"/>
  <c r="B1042" i="1"/>
  <c r="B1043" i="1"/>
  <c r="A2" i="2"/>
  <c r="G4" i="2"/>
  <c r="A6" i="2"/>
  <c r="G13" i="2"/>
  <c r="G15" i="2" s="1"/>
  <c r="G17" i="2" s="1"/>
  <c r="A17" i="2"/>
  <c r="G44" i="2"/>
  <c r="G48" i="2" s="1"/>
  <c r="G50" i="2" s="1"/>
  <c r="A50" i="2"/>
  <c r="A53" i="2"/>
  <c r="B58" i="2"/>
  <c r="A60" i="2"/>
  <c r="I1" i="3"/>
  <c r="A4" i="3"/>
  <c r="A7" i="3"/>
  <c r="A15" i="3"/>
  <c r="A18" i="3"/>
  <c r="A19" i="3"/>
  <c r="I19" i="3"/>
  <c r="A20" i="3"/>
  <c r="I20" i="3"/>
  <c r="A21" i="3"/>
  <c r="I21" i="3"/>
  <c r="A22" i="3"/>
  <c r="I22" i="3"/>
  <c r="A23" i="3"/>
  <c r="I23" i="3"/>
  <c r="A24" i="3"/>
  <c r="I24" i="3"/>
  <c r="A25" i="3"/>
  <c r="I25" i="3"/>
  <c r="A26" i="3"/>
  <c r="I27" i="3"/>
  <c r="A32" i="3"/>
  <c r="A37" i="3"/>
  <c r="D1" i="18"/>
  <c r="C10" i="18"/>
  <c r="E10" i="18"/>
  <c r="F10" i="18"/>
  <c r="G10" i="18"/>
  <c r="H10" i="18"/>
  <c r="C11" i="18"/>
  <c r="E11" i="18" s="1"/>
  <c r="F11" i="18"/>
  <c r="H11" i="18"/>
  <c r="G11" i="18" s="1"/>
  <c r="C12" i="18"/>
  <c r="E12" i="18"/>
  <c r="F12" i="18"/>
  <c r="G12" i="18"/>
  <c r="H12" i="18"/>
  <c r="C13" i="18"/>
  <c r="E13" i="18" s="1"/>
  <c r="F13" i="18"/>
  <c r="H13" i="18"/>
  <c r="G13" i="18" s="1"/>
  <c r="C14" i="18"/>
  <c r="E14" i="18"/>
  <c r="F14" i="18"/>
  <c r="G14" i="18"/>
  <c r="H14" i="18"/>
  <c r="C15" i="18"/>
  <c r="E15" i="18" s="1"/>
  <c r="F15" i="18"/>
  <c r="H15" i="18"/>
  <c r="G15" i="18" s="1"/>
  <c r="C16" i="18"/>
  <c r="E16" i="18"/>
  <c r="F16" i="18"/>
  <c r="G16" i="18"/>
  <c r="H16" i="18"/>
  <c r="C17" i="18"/>
  <c r="E17" i="18" s="1"/>
  <c r="F17" i="18"/>
  <c r="H17" i="18"/>
  <c r="G17" i="18" s="1"/>
  <c r="C18" i="18"/>
  <c r="E18" i="18"/>
  <c r="F18" i="18"/>
  <c r="G18" i="18"/>
  <c r="H18" i="18"/>
  <c r="C19" i="18"/>
  <c r="E19" i="18" s="1"/>
  <c r="F19" i="18"/>
  <c r="H19" i="18"/>
  <c r="G19" i="18" s="1"/>
  <c r="C20" i="18"/>
  <c r="E20" i="18"/>
  <c r="F20" i="18"/>
  <c r="G20" i="18"/>
  <c r="H20" i="18"/>
  <c r="C21" i="18"/>
  <c r="E21" i="18" s="1"/>
  <c r="F21" i="18"/>
  <c r="H21" i="18"/>
  <c r="G21" i="18" s="1"/>
  <c r="D22" i="18"/>
  <c r="F22" i="18"/>
  <c r="D32" i="18"/>
  <c r="D33" i="18"/>
  <c r="F33" i="18"/>
  <c r="J1" i="4"/>
  <c r="A2" i="4"/>
  <c r="A4" i="4"/>
  <c r="A11" i="4"/>
  <c r="A13" i="4"/>
  <c r="B14" i="4"/>
  <c r="A16" i="4"/>
  <c r="A18" i="4"/>
  <c r="A21" i="4"/>
  <c r="E22" i="4"/>
  <c r="A24" i="4"/>
  <c r="E25" i="4"/>
  <c r="A28" i="4"/>
  <c r="B28" i="4"/>
  <c r="E28" i="4"/>
  <c r="H37" i="4"/>
  <c r="H38" i="4"/>
  <c r="H39" i="4"/>
  <c r="E41" i="4"/>
  <c r="J41" i="4"/>
  <c r="A43" i="4"/>
  <c r="B44" i="4"/>
  <c r="E44" i="4"/>
  <c r="E50" i="4"/>
  <c r="G50" i="4"/>
  <c r="J50" i="4"/>
  <c r="G52" i="4"/>
  <c r="E54" i="4"/>
  <c r="G54" i="4"/>
  <c r="J54" i="4"/>
  <c r="J56" i="4"/>
  <c r="A58" i="4"/>
  <c r="G58" i="4"/>
  <c r="L58" i="4"/>
  <c r="G60" i="4"/>
  <c r="A63" i="4"/>
  <c r="G63" i="4"/>
  <c r="L63" i="4"/>
  <c r="A70" i="4"/>
  <c r="E71" i="4"/>
  <c r="A74" i="4"/>
  <c r="B75" i="4"/>
  <c r="D75" i="4"/>
  <c r="B22" i="4" s="1"/>
  <c r="A78" i="4"/>
  <c r="B79" i="4"/>
  <c r="D79" i="4" s="1"/>
  <c r="B25" i="4" s="1"/>
  <c r="A86" i="4"/>
  <c r="J89" i="4"/>
  <c r="A93" i="4"/>
  <c r="J93" i="4"/>
  <c r="A95" i="4"/>
  <c r="J95" i="4"/>
  <c r="B97" i="4"/>
  <c r="D97" i="4"/>
  <c r="B98" i="4"/>
  <c r="B99" i="4"/>
  <c r="D99" i="4"/>
  <c r="J99" i="4" s="1"/>
  <c r="J103" i="4" s="1"/>
  <c r="J149" i="4" s="1"/>
  <c r="J152" i="4" s="1"/>
  <c r="A101" i="4"/>
  <c r="L110" i="4"/>
  <c r="A116" i="4"/>
  <c r="E119" i="4"/>
  <c r="M126" i="4"/>
  <c r="AA127" i="4"/>
  <c r="AB127" i="4"/>
  <c r="AC127" i="4" s="1"/>
  <c r="AD127" i="4" s="1"/>
  <c r="AE127" i="4" s="1"/>
  <c r="AF127" i="4"/>
  <c r="AA128" i="4"/>
  <c r="AB128" i="4"/>
  <c r="AC128" i="4" s="1"/>
  <c r="AD128" i="4"/>
  <c r="AE128" i="4" s="1"/>
  <c r="AF128" i="4"/>
  <c r="M129" i="4"/>
  <c r="A130" i="4"/>
  <c r="J130" i="4"/>
  <c r="G135" i="4" s="1"/>
  <c r="A132" i="4"/>
  <c r="E133" i="4"/>
  <c r="A139" i="4"/>
  <c r="J146" i="4"/>
  <c r="A149" i="4"/>
  <c r="A151" i="4"/>
  <c r="A152" i="4"/>
  <c r="G152" i="4"/>
  <c r="A155" i="4"/>
  <c r="A159" i="4"/>
  <c r="A161" i="4"/>
  <c r="H161" i="4"/>
  <c r="A164" i="4"/>
  <c r="D165" i="4"/>
  <c r="A168" i="4"/>
  <c r="E168" i="4"/>
  <c r="A170" i="4"/>
  <c r="A171" i="4"/>
  <c r="A174" i="4"/>
  <c r="H174" i="4"/>
  <c r="A178" i="4"/>
  <c r="A182" i="4"/>
  <c r="A187" i="4"/>
  <c r="A193" i="4"/>
  <c r="E193" i="4"/>
  <c r="J193" i="4" s="1"/>
  <c r="E195" i="4"/>
  <c r="J195" i="4" s="1"/>
  <c r="E198" i="4"/>
  <c r="G198" i="4"/>
  <c r="H198" i="4"/>
  <c r="E199" i="4"/>
  <c r="G199" i="4"/>
  <c r="H199" i="4"/>
  <c r="J199" i="4"/>
  <c r="J222" i="4"/>
  <c r="B224" i="4"/>
  <c r="B225" i="4"/>
  <c r="B226" i="4"/>
  <c r="A235" i="4"/>
  <c r="O257" i="4"/>
  <c r="P257" i="4"/>
  <c r="E253" i="4" s="1"/>
  <c r="O275" i="4"/>
  <c r="Q289" i="4"/>
  <c r="V289" i="4"/>
  <c r="Q290" i="4"/>
  <c r="V290" i="4"/>
  <c r="Q291" i="4"/>
  <c r="V291" i="4"/>
  <c r="Q292" i="4"/>
  <c r="V292" i="4"/>
  <c r="Q293" i="4"/>
  <c r="V293" i="4"/>
  <c r="Q294" i="4"/>
  <c r="V294" i="4"/>
  <c r="Q295" i="4"/>
  <c r="V295" i="4"/>
  <c r="Q296" i="4"/>
  <c r="V296" i="4"/>
  <c r="Q297" i="4"/>
  <c r="V297" i="4"/>
  <c r="Q298" i="4"/>
  <c r="V298" i="4"/>
  <c r="J1" i="17"/>
  <c r="J10" i="17" s="1"/>
  <c r="J15" i="17" s="1"/>
  <c r="A3" i="17"/>
  <c r="A6" i="17"/>
  <c r="A8" i="17"/>
  <c r="H10" i="17"/>
  <c r="A12" i="17"/>
  <c r="A13" i="17"/>
  <c r="L13" i="17"/>
  <c r="A17" i="17"/>
  <c r="A18" i="17"/>
  <c r="A20" i="17"/>
  <c r="J1" i="6"/>
  <c r="A3" i="6"/>
  <c r="A4" i="6"/>
  <c r="J8" i="6"/>
  <c r="E12" i="6"/>
  <c r="G12" i="6"/>
  <c r="I12" i="6"/>
  <c r="J12" i="6"/>
  <c r="E13" i="6"/>
  <c r="G13" i="6"/>
  <c r="I13" i="6"/>
  <c r="J13" i="6"/>
  <c r="E14" i="6"/>
  <c r="G14" i="6"/>
  <c r="I14" i="6"/>
  <c r="J14" i="6"/>
  <c r="E15" i="6"/>
  <c r="G15" i="6"/>
  <c r="J15" i="6" s="1"/>
  <c r="E16" i="6"/>
  <c r="G16" i="6"/>
  <c r="I16" i="6"/>
  <c r="I18" i="6" s="1"/>
  <c r="I17" i="6"/>
  <c r="J17" i="6" s="1"/>
  <c r="C18" i="6"/>
  <c r="G18" i="6"/>
  <c r="E21" i="6"/>
  <c r="I21" i="6"/>
  <c r="E22" i="6"/>
  <c r="I22" i="6"/>
  <c r="J22" i="6"/>
  <c r="E23" i="6"/>
  <c r="I23" i="6"/>
  <c r="J23" i="6" s="1"/>
  <c r="E24" i="6"/>
  <c r="J24" i="6" s="1"/>
  <c r="E25" i="6"/>
  <c r="I25" i="6"/>
  <c r="J25" i="6"/>
  <c r="I26" i="6"/>
  <c r="J26" i="6"/>
  <c r="C27" i="6"/>
  <c r="E30" i="6"/>
  <c r="I30" i="6"/>
  <c r="E31" i="6"/>
  <c r="I31" i="6"/>
  <c r="J31" i="6"/>
  <c r="E32" i="6"/>
  <c r="I32" i="6"/>
  <c r="J32" i="6" s="1"/>
  <c r="E33" i="6"/>
  <c r="J33" i="6" s="1"/>
  <c r="E34" i="6"/>
  <c r="I34" i="6"/>
  <c r="J34" i="6"/>
  <c r="I35" i="6"/>
  <c r="J35" i="6"/>
  <c r="C36" i="6"/>
  <c r="E40" i="6"/>
  <c r="I40" i="6"/>
  <c r="J40" i="6" s="1"/>
  <c r="E41" i="6"/>
  <c r="C42" i="6"/>
  <c r="J45" i="6"/>
  <c r="G48" i="6"/>
  <c r="B2" i="7"/>
  <c r="N4" i="7"/>
  <c r="A5" i="7"/>
  <c r="A8" i="7"/>
  <c r="A11" i="7"/>
  <c r="A12" i="7"/>
  <c r="D15" i="7"/>
  <c r="D17" i="7"/>
  <c r="F17" i="7"/>
  <c r="U17" i="7"/>
  <c r="D18" i="7"/>
  <c r="U18" i="7"/>
  <c r="D19" i="7"/>
  <c r="F19" i="7"/>
  <c r="U19" i="7"/>
  <c r="J19" i="7" s="1"/>
  <c r="N19" i="7" s="1"/>
  <c r="D20" i="7"/>
  <c r="U20" i="7"/>
  <c r="D21" i="7"/>
  <c r="F21" i="7"/>
  <c r="U21" i="7"/>
  <c r="J21" i="7" s="1"/>
  <c r="N21" i="7" s="1"/>
  <c r="B22" i="7"/>
  <c r="D22" i="7"/>
  <c r="F22" i="7" s="1"/>
  <c r="U22" i="7"/>
  <c r="J22" i="7" s="1"/>
  <c r="B23" i="7"/>
  <c r="B81" i="7" s="1"/>
  <c r="D23" i="7"/>
  <c r="F23" i="7"/>
  <c r="U23" i="7"/>
  <c r="J23" i="7" s="1"/>
  <c r="N23" i="7" s="1"/>
  <c r="D24" i="7"/>
  <c r="F24" i="7"/>
  <c r="U24" i="7"/>
  <c r="J24" i="7" s="1"/>
  <c r="N24" i="7" s="1"/>
  <c r="B25" i="7"/>
  <c r="D25" i="7"/>
  <c r="F25" i="7" s="1"/>
  <c r="H25" i="7" s="1"/>
  <c r="U25" i="7"/>
  <c r="J25" i="7" s="1"/>
  <c r="N25" i="7" s="1"/>
  <c r="B26" i="7"/>
  <c r="D26" i="7"/>
  <c r="F26" i="7"/>
  <c r="U26" i="7"/>
  <c r="J26" i="7" s="1"/>
  <c r="N26" i="7" s="1"/>
  <c r="D27" i="7"/>
  <c r="F27" i="7"/>
  <c r="U27" i="7"/>
  <c r="J27" i="7" s="1"/>
  <c r="N27" i="7" s="1"/>
  <c r="D28" i="7"/>
  <c r="F28" i="7"/>
  <c r="U28" i="7"/>
  <c r="J28" i="7" s="1"/>
  <c r="N28" i="7" s="1"/>
  <c r="D29" i="7"/>
  <c r="F29" i="7"/>
  <c r="U29" i="7"/>
  <c r="J29" i="7" s="1"/>
  <c r="N29" i="7" s="1"/>
  <c r="D30" i="7"/>
  <c r="F30" i="7"/>
  <c r="U30" i="7"/>
  <c r="J30" i="7" s="1"/>
  <c r="N30" i="7" s="1"/>
  <c r="D31" i="7"/>
  <c r="F31" i="7"/>
  <c r="U31" i="7"/>
  <c r="J31" i="7" s="1"/>
  <c r="N31" i="7" s="1"/>
  <c r="D32" i="7"/>
  <c r="F32" i="7"/>
  <c r="U32" i="7"/>
  <c r="J32" i="7" s="1"/>
  <c r="N32" i="7" s="1"/>
  <c r="D33" i="7"/>
  <c r="F33" i="7"/>
  <c r="U33" i="7"/>
  <c r="J33" i="7" s="1"/>
  <c r="N33" i="7" s="1"/>
  <c r="D34" i="7"/>
  <c r="F34" i="7"/>
  <c r="J34" i="7"/>
  <c r="N34" i="7" s="1"/>
  <c r="U34" i="7"/>
  <c r="D35" i="7"/>
  <c r="F35" i="7" s="1"/>
  <c r="U35" i="7"/>
  <c r="J35" i="7" s="1"/>
  <c r="N35" i="7" s="1"/>
  <c r="D36" i="7"/>
  <c r="F18" i="7" s="1"/>
  <c r="H36" i="7"/>
  <c r="H22" i="7" s="1"/>
  <c r="L36" i="7"/>
  <c r="L25" i="7" s="1"/>
  <c r="N36" i="7"/>
  <c r="P36" i="7"/>
  <c r="P22" i="7" s="1"/>
  <c r="B39" i="7"/>
  <c r="B44" i="7"/>
  <c r="A59" i="7"/>
  <c r="B59" i="7"/>
  <c r="N59" i="7"/>
  <c r="A62" i="7"/>
  <c r="A66" i="7"/>
  <c r="A69" i="7"/>
  <c r="A70" i="7"/>
  <c r="D73" i="7"/>
  <c r="P74" i="7"/>
  <c r="D75" i="7"/>
  <c r="F75" i="7"/>
  <c r="U75" i="7"/>
  <c r="D76" i="7"/>
  <c r="F76" i="7" s="1"/>
  <c r="U76" i="7"/>
  <c r="D77" i="7"/>
  <c r="F77" i="7" s="1"/>
  <c r="U77" i="7"/>
  <c r="J77" i="7" s="1"/>
  <c r="D78" i="7"/>
  <c r="F78" i="7" s="1"/>
  <c r="U78" i="7"/>
  <c r="D79" i="7"/>
  <c r="F79" i="7" s="1"/>
  <c r="U79" i="7"/>
  <c r="J79" i="7" s="1"/>
  <c r="B80" i="7"/>
  <c r="D80" i="7"/>
  <c r="F80" i="7"/>
  <c r="U80" i="7"/>
  <c r="J80" i="7" s="1"/>
  <c r="N80" i="7" s="1"/>
  <c r="D81" i="7"/>
  <c r="F81" i="7" s="1"/>
  <c r="U81" i="7"/>
  <c r="J81" i="7" s="1"/>
  <c r="D82" i="7"/>
  <c r="F82" i="7" s="1"/>
  <c r="U82" i="7"/>
  <c r="J82" i="7" s="1"/>
  <c r="B83" i="7"/>
  <c r="D83" i="7"/>
  <c r="F83" i="7"/>
  <c r="U83" i="7"/>
  <c r="J83" i="7" s="1"/>
  <c r="N83" i="7" s="1"/>
  <c r="B84" i="7"/>
  <c r="D84" i="7"/>
  <c r="F84" i="7" s="1"/>
  <c r="U84" i="7"/>
  <c r="J84" i="7" s="1"/>
  <c r="D85" i="7"/>
  <c r="F85" i="7" s="1"/>
  <c r="U85" i="7"/>
  <c r="J85" i="7" s="1"/>
  <c r="D86" i="7"/>
  <c r="F86" i="7" s="1"/>
  <c r="U86" i="7"/>
  <c r="J86" i="7" s="1"/>
  <c r="D87" i="7"/>
  <c r="F87" i="7" s="1"/>
  <c r="U87" i="7"/>
  <c r="J87" i="7" s="1"/>
  <c r="D88" i="7"/>
  <c r="F88" i="7" s="1"/>
  <c r="U88" i="7"/>
  <c r="J88" i="7" s="1"/>
  <c r="D89" i="7"/>
  <c r="F89" i="7" s="1"/>
  <c r="U89" i="7"/>
  <c r="J89" i="7" s="1"/>
  <c r="D90" i="7"/>
  <c r="F90" i="7" s="1"/>
  <c r="U90" i="7"/>
  <c r="J90" i="7" s="1"/>
  <c r="D91" i="7"/>
  <c r="F91" i="7" s="1"/>
  <c r="U91" i="7"/>
  <c r="J91" i="7" s="1"/>
  <c r="D92" i="7"/>
  <c r="F92" i="7" s="1"/>
  <c r="U92" i="7"/>
  <c r="J92" i="7" s="1"/>
  <c r="D93" i="7"/>
  <c r="F93" i="7" s="1"/>
  <c r="U93" i="7"/>
  <c r="J93" i="7" s="1"/>
  <c r="D94" i="7"/>
  <c r="H94" i="7"/>
  <c r="H76" i="7" s="1"/>
  <c r="L94" i="7"/>
  <c r="N94" i="7"/>
  <c r="P94" i="7"/>
  <c r="B96" i="7"/>
  <c r="B101" i="7"/>
  <c r="H1" i="8"/>
  <c r="B2" i="8"/>
  <c r="A9" i="8"/>
  <c r="B13" i="8"/>
  <c r="E14" i="8"/>
  <c r="H14" i="8"/>
  <c r="B19" i="8"/>
  <c r="E20" i="8"/>
  <c r="H20" i="8"/>
  <c r="B25" i="8"/>
  <c r="B27" i="8"/>
  <c r="H27" i="8"/>
  <c r="H30" i="8"/>
  <c r="B32" i="8"/>
  <c r="H32" i="8"/>
  <c r="I1" i="9"/>
  <c r="A2" i="9"/>
  <c r="A7" i="9"/>
  <c r="M12" i="9"/>
  <c r="E15" i="9"/>
  <c r="F15" i="9"/>
  <c r="I22" i="9"/>
  <c r="A24" i="9"/>
  <c r="A46" i="9" s="1"/>
  <c r="A31" i="9"/>
  <c r="E35" i="9"/>
  <c r="I35" i="9" s="1"/>
  <c r="I41" i="9" s="1"/>
  <c r="A42" i="9"/>
  <c r="I44" i="9"/>
  <c r="A52" i="9"/>
  <c r="A36" i="10" s="1"/>
  <c r="E56" i="9"/>
  <c r="I56" i="9"/>
  <c r="I62" i="9" s="1"/>
  <c r="A63" i="9"/>
  <c r="A47" i="10" s="1"/>
  <c r="I1" i="10"/>
  <c r="A2" i="10"/>
  <c r="A7" i="10"/>
  <c r="A14" i="10"/>
  <c r="E18" i="10"/>
  <c r="I18" i="10"/>
  <c r="I24" i="10" s="1"/>
  <c r="A25" i="10"/>
  <c r="I26" i="10"/>
  <c r="A29" i="10"/>
  <c r="E40" i="10"/>
  <c r="I40" i="10" s="1"/>
  <c r="I46" i="10" s="1"/>
  <c r="E2" i="11"/>
  <c r="C8" i="11"/>
  <c r="D8" i="11"/>
  <c r="E8" i="11"/>
  <c r="F8" i="11"/>
  <c r="G8"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B1" i="13"/>
  <c r="E3" i="13"/>
  <c r="A14" i="13"/>
  <c r="A28" i="13"/>
  <c r="A30" i="13"/>
  <c r="A31" i="13"/>
  <c r="A34" i="13"/>
  <c r="B39" i="13"/>
  <c r="E39" i="13"/>
  <c r="E1" i="19"/>
  <c r="A2" i="19"/>
  <c r="C6" i="19"/>
  <c r="D6" i="19"/>
  <c r="E6" i="19"/>
  <c r="C7" i="19"/>
  <c r="D7" i="19"/>
  <c r="E7" i="19"/>
  <c r="C8" i="19"/>
  <c r="D8" i="19"/>
  <c r="E8" i="19"/>
  <c r="C9" i="19"/>
  <c r="D9" i="19"/>
  <c r="E9" i="19"/>
  <c r="C10" i="19"/>
  <c r="C43" i="19" s="1"/>
  <c r="C45" i="19" s="1"/>
  <c r="D10" i="19"/>
  <c r="E10" i="19"/>
  <c r="E43" i="19" s="1"/>
  <c r="E45" i="19" s="1"/>
  <c r="C11" i="19"/>
  <c r="D11" i="19"/>
  <c r="E11" i="19"/>
  <c r="C12" i="19"/>
  <c r="D12" i="19"/>
  <c r="E12" i="19"/>
  <c r="C13" i="19"/>
  <c r="D13" i="19"/>
  <c r="E13" i="19"/>
  <c r="C14" i="19"/>
  <c r="D14" i="19"/>
  <c r="E14" i="19"/>
  <c r="C15" i="19"/>
  <c r="D15" i="19"/>
  <c r="E15" i="19"/>
  <c r="C16" i="19"/>
  <c r="D16" i="19"/>
  <c r="E16" i="19"/>
  <c r="C17" i="19"/>
  <c r="D17" i="19"/>
  <c r="E17" i="19"/>
  <c r="C18" i="19"/>
  <c r="D18" i="19"/>
  <c r="E18" i="19"/>
  <c r="C19" i="19"/>
  <c r="D19" i="19"/>
  <c r="E19" i="19"/>
  <c r="C20" i="19"/>
  <c r="D20" i="19"/>
  <c r="E20" i="19"/>
  <c r="C21" i="19"/>
  <c r="D21" i="19"/>
  <c r="E21" i="19"/>
  <c r="C22" i="19"/>
  <c r="D22" i="19"/>
  <c r="E22" i="19"/>
  <c r="C23" i="19"/>
  <c r="D23" i="19"/>
  <c r="E23" i="19"/>
  <c r="C24" i="19"/>
  <c r="D24" i="19"/>
  <c r="E24" i="19"/>
  <c r="C25" i="19"/>
  <c r="D25" i="19"/>
  <c r="E25" i="19"/>
  <c r="C26" i="19"/>
  <c r="D26" i="19"/>
  <c r="E26" i="19"/>
  <c r="C27" i="19"/>
  <c r="D27" i="19"/>
  <c r="E27" i="19"/>
  <c r="C28" i="19"/>
  <c r="D28" i="19"/>
  <c r="E28" i="19"/>
  <c r="C29" i="19"/>
  <c r="D29" i="19"/>
  <c r="E29" i="19"/>
  <c r="C30" i="19"/>
  <c r="D30" i="19"/>
  <c r="E30" i="19"/>
  <c r="C31" i="19"/>
  <c r="D31" i="19"/>
  <c r="E31" i="19"/>
  <c r="C33" i="19"/>
  <c r="D33" i="19"/>
  <c r="E33" i="19"/>
  <c r="C34" i="19"/>
  <c r="D34" i="19"/>
  <c r="E34" i="19"/>
  <c r="C35" i="19"/>
  <c r="D35" i="19"/>
  <c r="E35" i="19"/>
  <c r="C36" i="19"/>
  <c r="D36" i="19"/>
  <c r="E36" i="19"/>
  <c r="C37" i="19"/>
  <c r="D37" i="19"/>
  <c r="E37" i="19"/>
  <c r="C38" i="19"/>
  <c r="D38" i="19"/>
  <c r="E38" i="19"/>
  <c r="C39" i="19"/>
  <c r="D39" i="19"/>
  <c r="E39" i="19"/>
  <c r="C40" i="19"/>
  <c r="D40" i="19"/>
  <c r="E40" i="19"/>
  <c r="C41" i="19"/>
  <c r="D41" i="19"/>
  <c r="E41" i="19"/>
  <c r="D43" i="19"/>
  <c r="C44" i="19"/>
  <c r="D44" i="19"/>
  <c r="E44" i="19"/>
  <c r="D45" i="19"/>
  <c r="C47" i="19"/>
  <c r="D47" i="19"/>
  <c r="E47" i="19"/>
  <c r="C48" i="19"/>
  <c r="D48" i="19"/>
  <c r="D53" i="19" s="1"/>
  <c r="E48" i="19"/>
  <c r="C49" i="19"/>
  <c r="D49" i="19"/>
  <c r="E49" i="19"/>
  <c r="C50" i="19"/>
  <c r="D50" i="19"/>
  <c r="E50" i="19"/>
  <c r="C51" i="19"/>
  <c r="D51" i="19"/>
  <c r="E51" i="19"/>
  <c r="C52" i="19"/>
  <c r="D52" i="19"/>
  <c r="E52" i="19"/>
  <c r="C53" i="19"/>
  <c r="E53" i="19"/>
  <c r="P76" i="7" l="1"/>
  <c r="L76" i="7"/>
  <c r="H18" i="7"/>
  <c r="L18" i="7"/>
  <c r="P18" i="7"/>
  <c r="H35" i="7"/>
  <c r="L35" i="7"/>
  <c r="P35" i="7"/>
  <c r="L152" i="4"/>
  <c r="G174" i="4"/>
  <c r="B179" i="4"/>
  <c r="D179" i="4" s="1"/>
  <c r="G161" i="4" s="1"/>
  <c r="L153" i="4"/>
  <c r="J155" i="4"/>
  <c r="J11" i="4" s="1"/>
  <c r="J16" i="4" s="1"/>
  <c r="J159" i="4"/>
  <c r="D14" i="4" s="1"/>
  <c r="J14" i="4" s="1"/>
  <c r="D168" i="4"/>
  <c r="J170" i="4"/>
  <c r="G133" i="4" s="1"/>
  <c r="B183" i="4"/>
  <c r="D183" i="4" s="1"/>
  <c r="B165" i="4" s="1"/>
  <c r="F94" i="7"/>
  <c r="J133" i="4"/>
  <c r="U94" i="7"/>
  <c r="J78" i="7" s="1"/>
  <c r="N78" i="7" s="1"/>
  <c r="N93" i="7"/>
  <c r="N92" i="7"/>
  <c r="N91" i="7"/>
  <c r="N90" i="7"/>
  <c r="N89" i="7"/>
  <c r="N88" i="7"/>
  <c r="N87" i="7"/>
  <c r="N86" i="7"/>
  <c r="N85" i="7"/>
  <c r="N84" i="7"/>
  <c r="P83" i="7"/>
  <c r="L83" i="7"/>
  <c r="H83" i="7"/>
  <c r="N82" i="7"/>
  <c r="N81" i="7"/>
  <c r="P80" i="7"/>
  <c r="L80" i="7"/>
  <c r="H80" i="7"/>
  <c r="N79" i="7"/>
  <c r="N77" i="7"/>
  <c r="U36" i="7"/>
  <c r="J17" i="7" s="1"/>
  <c r="H34" i="7"/>
  <c r="L34" i="7"/>
  <c r="H32" i="7"/>
  <c r="L32" i="7"/>
  <c r="P32" i="7"/>
  <c r="H30" i="7"/>
  <c r="L30" i="7"/>
  <c r="P30" i="7"/>
  <c r="H28" i="7"/>
  <c r="L28" i="7"/>
  <c r="P28" i="7"/>
  <c r="H26" i="7"/>
  <c r="L26" i="7"/>
  <c r="P26" i="7"/>
  <c r="P25" i="7"/>
  <c r="H24" i="7"/>
  <c r="L24" i="7"/>
  <c r="P24" i="7"/>
  <c r="N22" i="7"/>
  <c r="L22" i="7"/>
  <c r="F20" i="7"/>
  <c r="I42" i="6"/>
  <c r="J41" i="6"/>
  <c r="E42" i="6"/>
  <c r="E36" i="6"/>
  <c r="E27" i="6"/>
  <c r="B271" i="4"/>
  <c r="P275" i="4"/>
  <c r="P93" i="7"/>
  <c r="L93" i="7"/>
  <c r="H93" i="7"/>
  <c r="P92" i="7"/>
  <c r="L92" i="7"/>
  <c r="H92" i="7"/>
  <c r="P91" i="7"/>
  <c r="L91" i="7"/>
  <c r="H91" i="7"/>
  <c r="P90" i="7"/>
  <c r="L90" i="7"/>
  <c r="H90" i="7"/>
  <c r="P89" i="7"/>
  <c r="L89" i="7"/>
  <c r="H89" i="7"/>
  <c r="P88" i="7"/>
  <c r="L88" i="7"/>
  <c r="H88" i="7"/>
  <c r="P87" i="7"/>
  <c r="L87" i="7"/>
  <c r="H87" i="7"/>
  <c r="P86" i="7"/>
  <c r="L86" i="7"/>
  <c r="H86" i="7"/>
  <c r="P85" i="7"/>
  <c r="L85" i="7"/>
  <c r="H85" i="7"/>
  <c r="P84" i="7"/>
  <c r="L84" i="7"/>
  <c r="H84" i="7"/>
  <c r="P82" i="7"/>
  <c r="L82" i="7"/>
  <c r="H82" i="7"/>
  <c r="P81" i="7"/>
  <c r="L81" i="7"/>
  <c r="H81" i="7"/>
  <c r="P79" i="7"/>
  <c r="L79" i="7"/>
  <c r="H79" i="7"/>
  <c r="P78" i="7"/>
  <c r="L78" i="7"/>
  <c r="H78" i="7"/>
  <c r="P77" i="7"/>
  <c r="L77" i="7"/>
  <c r="H77" i="7"/>
  <c r="P34" i="7"/>
  <c r="H33" i="7"/>
  <c r="L33" i="7"/>
  <c r="P33" i="7"/>
  <c r="H31" i="7"/>
  <c r="L31" i="7"/>
  <c r="P31" i="7"/>
  <c r="H29" i="7"/>
  <c r="L29" i="7"/>
  <c r="P29" i="7"/>
  <c r="H27" i="7"/>
  <c r="L27" i="7"/>
  <c r="P27" i="7"/>
  <c r="H23" i="7"/>
  <c r="L23" i="7"/>
  <c r="P23" i="7"/>
  <c r="H21" i="7"/>
  <c r="L21" i="7"/>
  <c r="P21" i="7"/>
  <c r="H19" i="7"/>
  <c r="L19" i="7"/>
  <c r="P19" i="7"/>
  <c r="J42" i="6"/>
  <c r="J30" i="6"/>
  <c r="J36" i="6" s="1"/>
  <c r="I36" i="6"/>
  <c r="J21" i="6"/>
  <c r="J27" i="6" s="1"/>
  <c r="I27" i="6"/>
  <c r="I48" i="6"/>
  <c r="J16" i="6"/>
  <c r="E18" i="6"/>
  <c r="J201" i="4"/>
  <c r="J48" i="4" s="1"/>
  <c r="H23" i="18"/>
  <c r="E22" i="18"/>
  <c r="G60" i="2"/>
  <c r="E52" i="4" s="1"/>
  <c r="E1032" i="1"/>
  <c r="E1035" i="1" s="1"/>
  <c r="E1039" i="1"/>
  <c r="M922" i="1"/>
  <c r="M963" i="1"/>
  <c r="E791" i="1"/>
  <c r="E784" i="1"/>
  <c r="E787" i="1" s="1"/>
  <c r="E652" i="1"/>
  <c r="E655" i="1" s="1"/>
  <c r="E659" i="1"/>
  <c r="C22" i="18"/>
  <c r="M1020" i="1"/>
  <c r="I1020" i="1"/>
  <c r="I1004" i="1"/>
  <c r="E978" i="1"/>
  <c r="I978" i="1"/>
  <c r="M978" i="1"/>
  <c r="E509" i="1"/>
  <c r="I509" i="1"/>
  <c r="E422" i="1"/>
  <c r="I422" i="1"/>
  <c r="K38" i="1"/>
  <c r="K31" i="1"/>
  <c r="K34" i="1" s="1"/>
  <c r="G38" i="1"/>
  <c r="G31" i="1"/>
  <c r="G34" i="1" s="1"/>
  <c r="M854" i="1"/>
  <c r="I854" i="1"/>
  <c r="I772" i="1"/>
  <c r="M640" i="1"/>
  <c r="I640" i="1"/>
  <c r="M509" i="1"/>
  <c r="G509" i="1"/>
  <c r="E308" i="1"/>
  <c r="E301" i="1"/>
  <c r="E304" i="1" s="1"/>
  <c r="K79" i="1"/>
  <c r="K82" i="1" s="1"/>
  <c r="K86" i="1"/>
  <c r="G79" i="1"/>
  <c r="G82" i="1" s="1"/>
  <c r="G86" i="1"/>
  <c r="M194" i="1"/>
  <c r="M368" i="1"/>
  <c r="M289" i="1"/>
  <c r="I289" i="1"/>
  <c r="I48" i="1"/>
  <c r="I18" i="3" s="1"/>
  <c r="K45" i="1"/>
  <c r="G528" i="1" l="1"/>
  <c r="G521" i="1"/>
  <c r="G524" i="1" s="1"/>
  <c r="I652" i="1"/>
  <c r="I655" i="1" s="1"/>
  <c r="I659" i="1"/>
  <c r="I791" i="1"/>
  <c r="I784" i="1"/>
  <c r="I787" i="1" s="1"/>
  <c r="M866" i="1"/>
  <c r="M869" i="1" s="1"/>
  <c r="M873" i="1"/>
  <c r="E441" i="1"/>
  <c r="E434" i="1"/>
  <c r="E437" i="1" s="1"/>
  <c r="E521" i="1"/>
  <c r="E524" i="1" s="1"/>
  <c r="E528" i="1"/>
  <c r="I990" i="1"/>
  <c r="I993" i="1" s="1"/>
  <c r="I997" i="1"/>
  <c r="M1032" i="1"/>
  <c r="M1035" i="1" s="1"/>
  <c r="M1039" i="1"/>
  <c r="I26" i="3"/>
  <c r="J52" i="4"/>
  <c r="E39" i="18"/>
  <c r="N17" i="7"/>
  <c r="J18" i="7"/>
  <c r="N18" i="7" s="1"/>
  <c r="D44" i="4"/>
  <c r="J44" i="4" s="1"/>
  <c r="J174" i="4"/>
  <c r="J76" i="7"/>
  <c r="N76" i="7" s="1"/>
  <c r="I308" i="1"/>
  <c r="I301" i="1"/>
  <c r="I304" i="1" s="1"/>
  <c r="I29" i="3"/>
  <c r="M308" i="1"/>
  <c r="M301" i="1"/>
  <c r="M304" i="1" s="1"/>
  <c r="M521" i="1"/>
  <c r="M524" i="1" s="1"/>
  <c r="M528" i="1"/>
  <c r="M652" i="1"/>
  <c r="M655" i="1" s="1"/>
  <c r="M659" i="1"/>
  <c r="I866" i="1"/>
  <c r="I869" i="1" s="1"/>
  <c r="I873" i="1"/>
  <c r="I441" i="1"/>
  <c r="I434" i="1"/>
  <c r="I437" i="1" s="1"/>
  <c r="I521" i="1"/>
  <c r="I524" i="1" s="1"/>
  <c r="I528" i="1"/>
  <c r="M990" i="1"/>
  <c r="M993" i="1" s="1"/>
  <c r="M997" i="1"/>
  <c r="E990" i="1"/>
  <c r="E993" i="1" s="1"/>
  <c r="E997" i="1"/>
  <c r="I1032" i="1"/>
  <c r="I1035" i="1" s="1"/>
  <c r="I1039" i="1"/>
  <c r="E48" i="6"/>
  <c r="J48" i="6" s="1"/>
  <c r="J18" i="6"/>
  <c r="H20" i="7"/>
  <c r="L20" i="7"/>
  <c r="P20" i="7"/>
  <c r="D135" i="4"/>
  <c r="J135" i="4" s="1"/>
  <c r="B140" i="4"/>
  <c r="D25" i="4"/>
  <c r="J25" i="4" s="1"/>
  <c r="J165" i="4"/>
  <c r="J168" i="4"/>
  <c r="D28" i="4"/>
  <c r="B19" i="4"/>
  <c r="E35" i="4"/>
  <c r="L126" i="4"/>
  <c r="L127" i="4"/>
  <c r="L128" i="4"/>
  <c r="L129" i="4"/>
  <c r="M133" i="4"/>
  <c r="N133" i="4" s="1"/>
  <c r="O133" i="4" s="1"/>
  <c r="P133" i="4" s="1"/>
  <c r="Q133" i="4" s="1"/>
  <c r="M127" i="4" s="1"/>
  <c r="D35" i="4"/>
  <c r="M134" i="4"/>
  <c r="N134" i="4" s="1"/>
  <c r="O134" i="4" s="1"/>
  <c r="P134" i="4" s="1"/>
  <c r="Q134" i="4" s="1"/>
  <c r="M128" i="4" s="1"/>
  <c r="D22" i="4"/>
  <c r="J21" i="4" s="1"/>
  <c r="J161" i="4"/>
  <c r="J20" i="7"/>
  <c r="N20" i="7" s="1"/>
  <c r="F36" i="7"/>
  <c r="J75" i="7"/>
  <c r="D19" i="4" l="1"/>
  <c r="G38" i="4"/>
  <c r="G220" i="4"/>
  <c r="J220" i="4" s="1"/>
  <c r="J28" i="4"/>
  <c r="G37" i="4"/>
  <c r="G39" i="4"/>
  <c r="E220" i="4"/>
  <c r="J36" i="7"/>
  <c r="P290" i="4"/>
  <c r="R290" i="4" s="1"/>
  <c r="S290" i="4" s="1"/>
  <c r="P292" i="4"/>
  <c r="R292" i="4" s="1"/>
  <c r="S292" i="4" s="1"/>
  <c r="P294" i="4"/>
  <c r="R294" i="4" s="1"/>
  <c r="S294" i="4" s="1"/>
  <c r="P296" i="4"/>
  <c r="R296" i="4" s="1"/>
  <c r="S296" i="4" s="1"/>
  <c r="P298" i="4"/>
  <c r="R298" i="4" s="1"/>
  <c r="S298" i="4" s="1"/>
  <c r="P289" i="4"/>
  <c r="R289" i="4" s="1"/>
  <c r="S289" i="4" s="1"/>
  <c r="P293" i="4"/>
  <c r="R293" i="4" s="1"/>
  <c r="S293" i="4" s="1"/>
  <c r="P297" i="4"/>
  <c r="R297" i="4" s="1"/>
  <c r="S297" i="4" s="1"/>
  <c r="P291" i="4"/>
  <c r="R291" i="4" s="1"/>
  <c r="S291" i="4" s="1"/>
  <c r="P295" i="4"/>
  <c r="R295" i="4" s="1"/>
  <c r="S295" i="4" s="1"/>
  <c r="N75" i="7"/>
  <c r="J94" i="7"/>
  <c r="J19" i="4"/>
  <c r="N151" i="4"/>
  <c r="J137" i="4" s="1"/>
  <c r="D140" i="4" s="1"/>
  <c r="J140" i="4" s="1"/>
  <c r="J46" i="4" s="1"/>
  <c r="D224" i="4" l="1"/>
  <c r="D226" i="4" s="1"/>
  <c r="J226" i="4" s="1"/>
  <c r="J229" i="4"/>
  <c r="E32" i="4" s="1"/>
  <c r="J37" i="4" l="1"/>
  <c r="J38" i="4" l="1"/>
  <c r="J39" i="4" s="1"/>
  <c r="E58" i="4" l="1"/>
  <c r="J58" i="4" l="1"/>
  <c r="D60" i="4" s="1"/>
  <c r="L61" i="4" l="1"/>
  <c r="L60" i="4"/>
  <c r="J60" i="4" s="1"/>
  <c r="E63" i="4" s="1"/>
  <c r="F28" i="18" l="1"/>
  <c r="F39" i="18" s="1"/>
  <c r="J65" i="4" s="1"/>
  <c r="L65" i="4" s="1"/>
  <c r="D71" i="4"/>
  <c r="J71" i="4"/>
  <c r="E18" i="17" s="1"/>
  <c r="J18" i="17" s="1"/>
  <c r="J63" i="4"/>
  <c r="J67" i="4" s="1"/>
  <c r="I15" i="3" s="1"/>
  <c r="I32" i="3" s="1"/>
  <c r="J21" i="17" l="1"/>
  <c r="I12" i="9"/>
  <c r="C15" i="9" s="1"/>
  <c r="I15" i="9" s="1"/>
  <c r="I19" i="9" s="1"/>
  <c r="J22" i="17"/>
</calcChain>
</file>

<file path=xl/comments1.xml><?xml version="1.0" encoding="utf-8"?>
<comments xmlns="http://schemas.openxmlformats.org/spreadsheetml/2006/main">
  <authors>
    <author>CICS</author>
    <author>cics</author>
  </authors>
  <commentList>
    <comment ref="C19" authorId="0">
      <text>
        <r>
          <rPr>
            <sz val="9"/>
            <color indexed="81"/>
            <rFont val="Geneva"/>
          </rPr>
          <t xml:space="preserve">Remember to enter the percent of delinquent taxes to use for the COMBINED data.
</t>
        </r>
      </text>
    </comment>
    <comment ref="M42" authorId="1">
      <text>
        <r>
          <rPr>
            <sz val="10"/>
            <color indexed="81"/>
            <rFont val="Arial"/>
            <family val="2"/>
          </rPr>
          <t>If this number is over 5%, please verify that it is indeed correct.</t>
        </r>
        <r>
          <rPr>
            <sz val="8"/>
            <color indexed="81"/>
            <rFont val="Tahoma"/>
            <family val="2"/>
          </rPr>
          <t xml:space="preserve">
</t>
        </r>
      </text>
    </comment>
    <comment ref="M43" authorId="1">
      <text>
        <r>
          <rPr>
            <sz val="10"/>
            <color indexed="81"/>
            <rFont val="Arial"/>
            <family val="2"/>
          </rPr>
          <t>If this number is over 5%, please verify that it is indeed correct.</t>
        </r>
        <r>
          <rPr>
            <sz val="8"/>
            <color indexed="81"/>
            <rFont val="Tahoma"/>
            <family val="2"/>
          </rPr>
          <t xml:space="preserve">
</t>
        </r>
      </text>
    </comment>
  </commentList>
</comments>
</file>

<file path=xl/comments2.xml><?xml version="1.0" encoding="utf-8"?>
<comments xmlns="http://schemas.openxmlformats.org/spreadsheetml/2006/main">
  <authors>
    <author>dreinert</author>
    <author>kmercer</author>
  </authors>
  <commentList>
    <comment ref="X288" authorId="0">
      <text>
        <r>
          <rPr>
            <b/>
            <sz val="8"/>
            <color indexed="81"/>
            <rFont val="Tahoma"/>
            <family val="2"/>
          </rPr>
          <t xml:space="preserve">No longer exception
</t>
        </r>
        <r>
          <rPr>
            <sz val="8"/>
            <color indexed="81"/>
            <rFont val="Tahoma"/>
            <family val="2"/>
          </rPr>
          <t xml:space="preserve">
</t>
        </r>
      </text>
    </comment>
    <comment ref="AA566" authorId="1">
      <text>
        <r>
          <rPr>
            <sz val="8"/>
            <color indexed="81"/>
            <rFont val="Tahoma"/>
            <family val="2"/>
          </rPr>
          <t xml:space="preserve">$303,432 payment added back for 07-08 payment paid in 08-09
</t>
        </r>
      </text>
    </comment>
  </commentList>
</comments>
</file>

<file path=xl/comments3.xml><?xml version="1.0" encoding="utf-8"?>
<comments xmlns="http://schemas.openxmlformats.org/spreadsheetml/2006/main">
  <authors>
    <author>dreinert</author>
  </authors>
  <commentList>
    <comment ref="J20" authorId="0">
      <text>
        <r>
          <rPr>
            <sz val="10"/>
            <color indexed="81"/>
            <rFont val="Tahoma"/>
            <family val="2"/>
          </rPr>
          <t>Enter a zero here if you do NOT want an LOB.  If you leave this blank you will be adopting the maximum LOB on line 5.</t>
        </r>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<sst xmlns="http://schemas.openxmlformats.org/spreadsheetml/2006/main" count="1719" uniqueCount="728">
  <si>
    <t>The determination of weighting will be based upon the number of full-time equivalent (FTE) students that are enrolled and</t>
  </si>
  <si>
    <t>Example #1:  (For new buildings.)</t>
  </si>
  <si>
    <t>For a totally new constructed building, the FTE equals the total enrollment FTE for that building.</t>
  </si>
  <si>
    <t>xxxxxxxxxxxxx</t>
  </si>
  <si>
    <t>xxxxxxx</t>
  </si>
  <si>
    <t>12 Months</t>
  </si>
  <si>
    <t>Total  Income</t>
  </si>
  <si>
    <t>0-135-194</t>
  </si>
  <si>
    <t>KANSAS STATE DEPARTMENT OF EDUCATION</t>
  </si>
  <si>
    <t>FORM 194</t>
  </si>
  <si>
    <t>Proration of Estimated Motor Vehicle Property Tax, Recreational Vehicle Property Tax,</t>
  </si>
  <si>
    <t>Example #2:  (For new additions)</t>
  </si>
  <si>
    <t xml:space="preserve">  Total number of students in each new classroom </t>
  </si>
  <si>
    <t>Number of class periods (divide by)</t>
  </si>
  <si>
    <t>In Lieu of Taxes in</t>
  </si>
  <si>
    <t>(Dollars)(a)</t>
  </si>
  <si>
    <t>Taxes Levied (b)</t>
  </si>
  <si>
    <t>Property Tax (d)</t>
  </si>
  <si>
    <t>Taxes Levied (f)</t>
  </si>
  <si>
    <t>Ind. Rev. Bonds (g)</t>
  </si>
  <si>
    <t xml:space="preserve"> = </t>
  </si>
  <si>
    <t>DENSITY</t>
  </si>
  <si>
    <t>FACTOR</t>
  </si>
  <si>
    <t>Kansas Department of Education</t>
  </si>
  <si>
    <t>Liability</t>
  </si>
  <si>
    <t xml:space="preserve">Special </t>
  </si>
  <si>
    <t>Form 0-135-155</t>
  </si>
  <si>
    <t>FORM  155</t>
  </si>
  <si>
    <t>Expires</t>
  </si>
  <si>
    <t>Tax Collection Ratio (Jan, Mar, June)</t>
  </si>
  <si>
    <t xml:space="preserve">Bond &amp; </t>
  </si>
  <si>
    <t>No Fund Warrant</t>
  </si>
  <si>
    <t>Historical Museum</t>
  </si>
  <si>
    <t>Extraordinary Growth Facilities</t>
  </si>
  <si>
    <t>Public Library Board</t>
  </si>
  <si>
    <t xml:space="preserve">Public Library Board Emp Benefits </t>
  </si>
  <si>
    <t>(c)</t>
  </si>
  <si>
    <t>(e)</t>
  </si>
  <si>
    <t>(a)</t>
  </si>
  <si>
    <t>(b)</t>
  </si>
  <si>
    <t>Estimated 16/20M Tax*</t>
  </si>
  <si>
    <t>%)</t>
  </si>
  <si>
    <t>Divide each fund's tax levy by total tax dollars levied.</t>
  </si>
  <si>
    <t>Should equal 100 percent.</t>
  </si>
  <si>
    <t>(d)</t>
  </si>
  <si>
    <t>(f)</t>
  </si>
  <si>
    <t>(g)</t>
  </si>
  <si>
    <t xml:space="preserve">(b)  FTE is computed by taking the total clock hours of vocational education students who are enrolled and attending </t>
  </si>
  <si>
    <t>(Record on Line 6)</t>
  </si>
  <si>
    <t>(c)  USD must have an approved at-risk pupil assistance plan for the school district.</t>
  </si>
  <si>
    <t>(e)  Four year old at risk students are counted as .5 FTE.  USD must be approved by the Kansas State Department</t>
  </si>
  <si>
    <t xml:space="preserve">      of Education.</t>
  </si>
  <si>
    <t>(NOTE:  If September 20 falls on a weekend, the following Monday will be the official count date.)</t>
  </si>
  <si>
    <t>Declining Enrollment Calculation</t>
  </si>
  <si>
    <t>3.  3 YR AVG FTE: (</t>
  </si>
  <si>
    <t>+</t>
  </si>
  <si>
    <t>(line 1)</t>
  </si>
  <si>
    <t>)/3=</t>
  </si>
  <si>
    <t>Qualifying for New Facilities Weighting</t>
  </si>
  <si>
    <t>(line 2)</t>
  </si>
  <si>
    <t>(goes to line 3)</t>
  </si>
  <si>
    <t>TABLE II</t>
  </si>
  <si>
    <t>Enrollment of District</t>
  </si>
  <si>
    <t>Factor</t>
  </si>
  <si>
    <t>0 - 99.9</t>
  </si>
  <si>
    <t>100 - 299.9</t>
  </si>
  <si>
    <t>EXAMPLE:  (FTE of 954.0)</t>
  </si>
  <si>
    <t>divided by Line 1</t>
  </si>
  <si>
    <t xml:space="preserve">     2.5 miles (line 2)</t>
  </si>
  <si>
    <t>3.  Less prior year overpayment</t>
  </si>
  <si>
    <t>-</t>
  </si>
  <si>
    <t>BOND AND INTEREST FUND #1</t>
  </si>
  <si>
    <t>ESTIMATED BOND AND INTEREST FUND STATE AID PAYMENTS</t>
  </si>
  <si>
    <t>(Bonds Issued Prior to July 1, 1992)</t>
  </si>
  <si>
    <t>Does not include asbestos bonds and capital outlay bonds.  State aid applies only to general</t>
  </si>
  <si>
    <t>obligation bonds passed in a referendum</t>
  </si>
  <si>
    <t>Headcount</t>
  </si>
  <si>
    <t>FTE</t>
  </si>
  <si>
    <t xml:space="preserve">  Kindergarten</t>
  </si>
  <si>
    <t xml:space="preserve">  Grade 1</t>
  </si>
  <si>
    <t xml:space="preserve">  Grade 2</t>
  </si>
  <si>
    <t xml:space="preserve">  Grade 3</t>
  </si>
  <si>
    <t>Weighting for example:</t>
  </si>
  <si>
    <t>Computing Expenditures per Pupil by Building</t>
  </si>
  <si>
    <t>Building</t>
  </si>
  <si>
    <t>Expenditures</t>
  </si>
  <si>
    <t>Bldg No.</t>
  </si>
  <si>
    <t>Building Name</t>
  </si>
  <si>
    <t>Budget</t>
  </si>
  <si>
    <t>Enrollment</t>
  </si>
  <si>
    <t>Drops</t>
  </si>
  <si>
    <t xml:space="preserve">Full-time equivalent enrollment = </t>
  </si>
  <si>
    <t>Example:</t>
  </si>
  <si>
    <t xml:space="preserve">New classroom A = </t>
  </si>
  <si>
    <t>students for the day</t>
  </si>
  <si>
    <t xml:space="preserve">New classroom B = </t>
  </si>
  <si>
    <t xml:space="preserve">New classroom C = </t>
  </si>
  <si>
    <t xml:space="preserve">New classroom D = </t>
  </si>
  <si>
    <t xml:space="preserve">TOTAL = </t>
  </si>
  <si>
    <t>divide by</t>
  </si>
  <si>
    <t>class periods</t>
  </si>
  <si>
    <t>"…previously unbudgeted increases in revenue other than ad valorem property taxes."</t>
  </si>
  <si>
    <t>AMENDMENT PROCEDURES</t>
  </si>
  <si>
    <t xml:space="preserve">     amended.  At least ten days must elapse between Steps 1 and 2.</t>
  </si>
  <si>
    <t>Vehicle Property Tax*</t>
  </si>
  <si>
    <t>$</t>
  </si>
  <si>
    <t xml:space="preserve">School </t>
  </si>
  <si>
    <t>2.  Hold the hearing on amending the budget as scheduled in Step 1.</t>
  </si>
  <si>
    <t xml:space="preserve">(b)  FTE is computed by taking the total clock hours of vocational students who are enrolled and attending in an </t>
  </si>
  <si>
    <t>School year it expires</t>
  </si>
  <si>
    <t>.........</t>
  </si>
  <si>
    <t>2.  Estimated percent of distribution (Jan., Mar., June)</t>
  </si>
  <si>
    <t>Higher of 3</t>
  </si>
  <si>
    <t>USD</t>
  </si>
  <si>
    <t>9999-9999</t>
  </si>
  <si>
    <t>KSBE-LEA FINANCE</t>
  </si>
  <si>
    <t xml:space="preserve">      KANSAS STATE DEPARTMENT OF EDUCATION             </t>
  </si>
  <si>
    <t>USD #</t>
  </si>
  <si>
    <t>Form 0-135-162</t>
  </si>
  <si>
    <t>Form 162</t>
  </si>
  <si>
    <t xml:space="preserve">             ESTIMATED FOOD SERVICE REVENUE                                </t>
  </si>
  <si>
    <t>Must match range of Density table below</t>
  </si>
  <si>
    <t>This form should be included with the budget document and filed with the State Department of Education.</t>
  </si>
  <si>
    <t>DISTRICT</t>
  </si>
  <si>
    <t>ANNUAL</t>
  </si>
  <si>
    <t>FEDERAL</t>
  </si>
  <si>
    <t>STATE</t>
  </si>
  <si>
    <t>LOCAL</t>
  </si>
  <si>
    <t>MEALS</t>
  </si>
  <si>
    <t>RATE</t>
  </si>
  <si>
    <t>Reimbursement</t>
  </si>
  <si>
    <t>PRICE</t>
  </si>
  <si>
    <t>REVENUE</t>
  </si>
  <si>
    <t>LUNCHES</t>
  </si>
  <si>
    <t>Free</t>
  </si>
  <si>
    <t>Reduced</t>
  </si>
  <si>
    <t>BREAKFAST</t>
  </si>
  <si>
    <t>Paid Elem</t>
  </si>
  <si>
    <t xml:space="preserve">     Jr. High</t>
  </si>
  <si>
    <t xml:space="preserve">     Sr. High</t>
  </si>
  <si>
    <t>SNACKS</t>
  </si>
  <si>
    <t>KINDERGARTEN</t>
  </si>
  <si>
    <t>MILK</t>
  </si>
  <si>
    <t>Paid</t>
  </si>
  <si>
    <t>Free-Avg Dealer Cost</t>
  </si>
  <si>
    <t>OTHER CASH</t>
  </si>
  <si>
    <t>Sales/Income</t>
  </si>
  <si>
    <t>xxxxxxxxxxx</t>
  </si>
  <si>
    <t>Form 0-135-110</t>
  </si>
  <si>
    <t>PAGE 1</t>
  </si>
  <si>
    <t>District Name</t>
  </si>
  <si>
    <t>No.</t>
  </si>
  <si>
    <t xml:space="preserve">Kansas State Department of Education    </t>
  </si>
  <si>
    <t>County</t>
  </si>
  <si>
    <t>COMBINED</t>
  </si>
  <si>
    <t>TAX IN PROCESS OF COLLECTION AND INFORMATION NEEDED</t>
  </si>
  <si>
    <t>FROM THE COUNTY TREASURER TO PREPARE UNIFIED SCHOOL DISTRICT BUDGET FORMS</t>
  </si>
  <si>
    <t>FORM 110</t>
  </si>
  <si>
    <t>Supplemental</t>
  </si>
  <si>
    <t>Capital</t>
  </si>
  <si>
    <t>Bond and</t>
  </si>
  <si>
    <t>Do Not Anticipate Revenues from Motor Vehicle Property Tax, Recreational Vehicle Property Tax and In Lieu of Taxes on Ind. Rev. Bonds</t>
  </si>
  <si>
    <t>Percent of Total</t>
  </si>
  <si>
    <t>Motor Vehicle</t>
  </si>
  <si>
    <t>Recreational Vehicle</t>
  </si>
  <si>
    <t>8.  Less:  County Taxes received**</t>
  </si>
  <si>
    <t>9.  Less:  Taxes refunded/abated</t>
  </si>
  <si>
    <t>10. Total Deductions (add Lines 3+4+5+6+7+8+9)</t>
  </si>
  <si>
    <t>Computes using whole General Fund (col. 4) (comes from Open)</t>
  </si>
  <si>
    <t>General (No MVPT or RVPT)</t>
  </si>
  <si>
    <t>XXXXXXXXXXXX</t>
  </si>
  <si>
    <t>XXXXXXXXXXXXXXX</t>
  </si>
  <si>
    <t>Supplemental Gen. Fund</t>
  </si>
  <si>
    <t>Adult Education</t>
  </si>
  <si>
    <t>Capital Outlay</t>
  </si>
  <si>
    <t>Special Assessment</t>
  </si>
  <si>
    <t>Temporary Notes</t>
  </si>
  <si>
    <t>correspond to school records and does not include MVPT.)   ***Exclude any assessed valuation due to the neighborhood revitalization act.</t>
  </si>
  <si>
    <t>PAGE 2</t>
  </si>
  <si>
    <t>Adult</t>
  </si>
  <si>
    <t>Special</t>
  </si>
  <si>
    <t>School</t>
  </si>
  <si>
    <t>Bond &amp;</t>
  </si>
  <si>
    <t>General Fund State Aid</t>
  </si>
  <si>
    <t>3.  Est. KPERS State Aid due to salary increases and added staff</t>
  </si>
  <si>
    <t xml:space="preserve">    Line 1</t>
  </si>
  <si>
    <t>0-135-194a</t>
  </si>
  <si>
    <t>FORM 194-A</t>
  </si>
  <si>
    <t>Declining</t>
  </si>
  <si>
    <t>Declining Enrollment</t>
  </si>
  <si>
    <t>Proration of Estimated Motor Vehicle Property Tax, Recreational Vehicle Property Tax</t>
  </si>
  <si>
    <t>and In Lieu of Taxes on Industrial Revenue Bonds</t>
  </si>
  <si>
    <t>ADDITIONAL DEFINITION FOR SCHOOL FACILITIES (Must use a minimum LOB listed below to qualify for this provision.)</t>
  </si>
  <si>
    <t xml:space="preserve">2.  Estimated supplemental general state aid. </t>
  </si>
  <si>
    <t>Computes using whole General Fund (comes from F110)</t>
  </si>
  <si>
    <t>XXXXXXXXXXXXX</t>
  </si>
  <si>
    <t>Public Library Board Emp Benefits</t>
  </si>
  <si>
    <t>Form 0-135-195</t>
  </si>
  <si>
    <t>FORM 195</t>
  </si>
  <si>
    <t>FOR COMPUTED FACTORS</t>
  </si>
  <si>
    <t>Rev. 4/2003</t>
  </si>
  <si>
    <t>TABLE III</t>
  </si>
  <si>
    <t>Transportation Weighting</t>
  </si>
  <si>
    <t xml:space="preserve">     who reside in the district 2.5 miles or more (Estimated)</t>
  </si>
  <si>
    <t>3.  Index of density = Line 2</t>
  </si>
  <si>
    <t>(This form should be included with the budget document and filed with the State Department of Education.)</t>
  </si>
  <si>
    <t>ESTIMATED STATE AID</t>
  </si>
  <si>
    <t xml:space="preserve">      pupils completing program</t>
  </si>
  <si>
    <t xml:space="preserve">      safety pupils completing program</t>
  </si>
  <si>
    <t>Form 0-135-239</t>
  </si>
  <si>
    <t>FORM 239</t>
  </si>
  <si>
    <t xml:space="preserve">ESTIMATED SUPPLEMENTAL GENERAL (LOB) STATE AID </t>
  </si>
  <si>
    <t>(see table below)</t>
  </si>
  <si>
    <t>{[5406 - 1.237500 (954.0 - 300)]÷3642.4}-1</t>
  </si>
  <si>
    <t>{[5406 - 1.237500 (654.0)]÷3642.4}-1</t>
  </si>
  <si>
    <t>{[5406 - 809.325]÷3642.4}-1</t>
  </si>
  <si>
    <t>{4597.675÷3642.4} -1</t>
  </si>
  <si>
    <t>1.261991-1</t>
  </si>
  <si>
    <t>TABLE (PAGES 5 AND 6)</t>
  </si>
  <si>
    <t>(Table IV)</t>
  </si>
  <si>
    <t>4.  Using index of density (Line 3), determine amount from density table on attached pages 7 and 8.</t>
  </si>
  <si>
    <t xml:space="preserve">USD # </t>
  </si>
  <si>
    <t>(Bonds Issued After July 1, 1992)</t>
  </si>
  <si>
    <t>Form 0-212-241a</t>
  </si>
  <si>
    <t>FORM 241-A</t>
  </si>
  <si>
    <t>BOND AND INTEREST FUND #2</t>
  </si>
  <si>
    <t>FORM 242-A</t>
  </si>
  <si>
    <t>Form 250 Building Expenditures Report</t>
  </si>
  <si>
    <t>USD:</t>
  </si>
  <si>
    <t xml:space="preserve">7.  Estimated weighted at-risk student enrollment ( c).  Number of students eligible that qualify for </t>
  </si>
  <si>
    <t>per Pupil</t>
  </si>
  <si>
    <r>
      <t>Optional</t>
    </r>
    <r>
      <rPr>
        <b/>
        <sz val="10"/>
        <rFont val="Arial"/>
        <family val="2"/>
      </rPr>
      <t xml:space="preserve"> Budget Worksheet for District Use Only:</t>
    </r>
  </si>
  <si>
    <t>STATE OF KANSAS</t>
  </si>
  <si>
    <t>BUDGET AMENDMENT INSTRUCTIONS</t>
  </si>
  <si>
    <t xml:space="preserve">Budget amendments as authorized by K.S.A. 79-2929a are permitted to increase the original budget for </t>
  </si>
  <si>
    <t>Rev. 4/2003)</t>
  </si>
  <si>
    <t>12.  Estimated Revenue from Delinquent</t>
  </si>
  <si>
    <t>Estimated Motor</t>
  </si>
  <si>
    <t>Estimated Recreational Vehicle</t>
  </si>
  <si>
    <t>Estimated In Lieu of Taxes</t>
  </si>
  <si>
    <t>on Industrial Revenue Bonds*</t>
  </si>
  <si>
    <t>Percent Uncollected*</t>
  </si>
  <si>
    <t xml:space="preserve">Before amending the budget, be sure it is necessary.  Certain revenue is exempt from the budget law.  </t>
  </si>
  <si>
    <t>NOTICE OF HEARING ON</t>
  </si>
  <si>
    <t>SUMMARY OF AMENDMENTS</t>
  </si>
  <si>
    <t>Adopted Budget</t>
  </si>
  <si>
    <t>Proposed Amendment</t>
  </si>
  <si>
    <t>Amount</t>
  </si>
  <si>
    <t>Tax</t>
  </si>
  <si>
    <t xml:space="preserve">of Tax to </t>
  </si>
  <si>
    <t xml:space="preserve">and </t>
  </si>
  <si>
    <t>Rate</t>
  </si>
  <si>
    <t>be Levied</t>
  </si>
  <si>
    <t>Transfers</t>
  </si>
  <si>
    <t>Clerk</t>
  </si>
  <si>
    <t>Actual</t>
  </si>
  <si>
    <t xml:space="preserve"> (Record on Line 6)</t>
  </si>
  <si>
    <t>(Clicking on a link will take you directly to the worksheet)</t>
  </si>
  <si>
    <t>Budget Contents - Forms</t>
  </si>
  <si>
    <t>Form 110-Tax in Process</t>
  </si>
  <si>
    <t>Form 118-Estimated Special Education Aid</t>
  </si>
  <si>
    <t>Form 148-Estimated General Fund State Aid</t>
  </si>
  <si>
    <t>Form 150-Estimated Legal Maximum Budget</t>
  </si>
  <si>
    <t>Form 155-Local Option Budget (Supplemental General Fund)</t>
  </si>
  <si>
    <t>Form 162-Estimated Food Service Revenue</t>
  </si>
  <si>
    <t>Form 239-Estimated Supplemental General State Aid, Bond &amp; Interest #1 State Aid</t>
  </si>
  <si>
    <t>Form 250-Building Expenditures Report (OPTIONAL)</t>
  </si>
  <si>
    <t>Amend - Budget Amendment Instructions</t>
  </si>
  <si>
    <t>Return to Contents page</t>
  </si>
  <si>
    <t>16/20M Tax (d)</t>
  </si>
  <si>
    <t xml:space="preserve">       Jr. High</t>
  </si>
  <si>
    <t xml:space="preserve">       Sr. High</t>
  </si>
  <si>
    <t>Special Liability Expense</t>
  </si>
  <si>
    <t>x     factor</t>
  </si>
  <si>
    <t xml:space="preserve">5.  Salaries of Bus Drivers and Transportation Aides (includes social security </t>
  </si>
  <si>
    <t xml:space="preserve">     and fringe benefits)</t>
  </si>
  <si>
    <t>6.  Contractual Services (includes mileage paid to parents)</t>
  </si>
  <si>
    <t>7.  Insurance</t>
  </si>
  <si>
    <t>8.  Maintenance in Lieu of Transportation (limited to $750 per child)</t>
  </si>
  <si>
    <t>9.  Other Expense (gasoline, oil, vehicle maintenance, etc.)</t>
  </si>
  <si>
    <t>General</t>
  </si>
  <si>
    <t>Outlay</t>
  </si>
  <si>
    <t>Interest</t>
  </si>
  <si>
    <t>Recreation</t>
  </si>
  <si>
    <t>Fund</t>
  </si>
  <si>
    <t>3.  Less:  percent of delinquent taxes  (3a)</t>
  </si>
  <si>
    <t>7.  Less:  County Taxes received**</t>
  </si>
  <si>
    <t xml:space="preserve">      transportation formula.  See depreciation schedule for prior year.)</t>
  </si>
  <si>
    <t>12. Estimated Revenue from Delinquent</t>
  </si>
  <si>
    <t xml:space="preserve">     Taxes during the next 18 months</t>
  </si>
  <si>
    <t>%</t>
  </si>
  <si>
    <t>TABLE I</t>
  </si>
  <si>
    <t>=</t>
  </si>
  <si>
    <t>TOTAL</t>
  </si>
  <si>
    <t>(Must total 100%)</t>
  </si>
  <si>
    <t>15. Net Transportation Cost (Line 13 minus Line 14)</t>
  </si>
  <si>
    <t xml:space="preserve">            </t>
  </si>
  <si>
    <t>Kansas State Department of Education</t>
  </si>
  <si>
    <t>Form 0-135-148</t>
  </si>
  <si>
    <t>Form 148</t>
  </si>
  <si>
    <t xml:space="preserve">Important:  Include this form with the budget document to be filed with the </t>
  </si>
  <si>
    <t xml:space="preserve">(a)  FTE is computed by taking the total clock hours of bilingual students who are enrolled and attending in an </t>
  </si>
  <si>
    <t xml:space="preserve">    (Line 1 X % of salary increase and added staff</t>
  </si>
  <si>
    <t xml:space="preserve">     clock hours</t>
  </si>
  <si>
    <t xml:space="preserve"> (Record on Line 5)</t>
  </si>
  <si>
    <t>House Bill 2059 - Military Provision</t>
  </si>
  <si>
    <t>In the case of school districts that have constructed an addition to existing facilities, the number of students that are enrolled</t>
  </si>
  <si>
    <t>and attending in the new addition will be counted on a full-time equivalent basis (see example 2.)  The additional weighting</t>
  </si>
  <si>
    <t xml:space="preserve"> for this provision of the law is applicable for two years only.  For a new facility, the FTE is for the entire building </t>
  </si>
  <si>
    <t>(see example 1).  For additions to an existing facility, the following calculating would be utilized.</t>
  </si>
  <si>
    <t>TABLE IV</t>
  </si>
  <si>
    <t>(Line 8)</t>
  </si>
  <si>
    <t xml:space="preserve">     meet criteria then calculates zero.)</t>
  </si>
  <si>
    <t>(Table IV, Line 4)</t>
  </si>
  <si>
    <t>factor (from Table II or pages 5, 6)</t>
  </si>
  <si>
    <t>7.  Estimated weighted at-risk student enrollment(c).  Number of eligible students that qualify for free lunches</t>
  </si>
  <si>
    <t>{[5406 - 1.237500 (E - 300)]÷3642.4} -1</t>
  </si>
  <si>
    <t>{[7337 - 9.655 (E - 100)]÷3642.4} -1</t>
  </si>
  <si>
    <t>Calculating example of 954 FTE:</t>
  </si>
  <si>
    <t>a)  School Facilities Definition - School facilities weighting is available for school districts whose adopted local option budget (LOB)</t>
  </si>
  <si>
    <t>In order to qualify for new facilities weighting, a district must have adopted at least a 25% local option budget.</t>
  </si>
  <si>
    <t>Keep for calculation of new facilities:</t>
  </si>
  <si>
    <t>District</t>
  </si>
  <si>
    <t>Number of students in Line 2 with the following weighting factors:</t>
  </si>
  <si>
    <t xml:space="preserve">     (add to Line 5, Form 150)</t>
  </si>
  <si>
    <t xml:space="preserve">                  FTE (b)</t>
  </si>
  <si>
    <t xml:space="preserve">    a.  Number of students eligible for free lunch (at least 50%)</t>
  </si>
  <si>
    <t xml:space="preserve">     (goes to Table III, Line 2, Form 150)</t>
  </si>
  <si>
    <t>Education</t>
  </si>
  <si>
    <t>Retirement</t>
  </si>
  <si>
    <t>3.  Less:  percent of delinquent taxes</t>
  </si>
  <si>
    <t>10. Total Deductions (Add lines 3+4+5+6+7+8+9)</t>
  </si>
  <si>
    <t>11.  Estimated weighted FTE for transportation.  (Table III, Line 5)</t>
  </si>
  <si>
    <t xml:space="preserve">      new facility (d) </t>
  </si>
  <si>
    <t>5.  Less transfer from LOB</t>
  </si>
  <si>
    <t xml:space="preserve">attending in the new facility September 20 (and February 20 for districts qualifying under K.S.A. 72-6448). </t>
  </si>
  <si>
    <t xml:space="preserve"> include MVPT.  Should correspond to school records.)</t>
  </si>
  <si>
    <t>PAGE 3</t>
  </si>
  <si>
    <t>No Fund</t>
  </si>
  <si>
    <t>Temporary</t>
  </si>
  <si>
    <t>Historical</t>
  </si>
  <si>
    <t>Public</t>
  </si>
  <si>
    <t>Warrant</t>
  </si>
  <si>
    <t>Assessment</t>
  </si>
  <si>
    <t>Note</t>
  </si>
  <si>
    <t>Museum</t>
  </si>
  <si>
    <t>Library</t>
  </si>
  <si>
    <t>PAGE 4</t>
  </si>
  <si>
    <t>Extraordinary</t>
  </si>
  <si>
    <t>Public Library</t>
  </si>
  <si>
    <t>Growth</t>
  </si>
  <si>
    <t>Board</t>
  </si>
  <si>
    <t>Facilities</t>
  </si>
  <si>
    <t>Emp Benefits</t>
  </si>
  <si>
    <t>M:Form 110</t>
  </si>
  <si>
    <t>7.  Less:  County Taxes Received*</t>
  </si>
  <si>
    <t>8.  Less:  County Taxes Received*</t>
  </si>
  <si>
    <t>10.  Total Deductions (Add lines 3+4+5+6+7+8+9)</t>
  </si>
  <si>
    <t xml:space="preserve">      Taxes during the next 18 months</t>
  </si>
  <si>
    <t>Form 0-135-118</t>
  </si>
  <si>
    <t>KANSAS STATE BOARD OF EDUCATION</t>
  </si>
  <si>
    <t>USD#</t>
  </si>
  <si>
    <t>FORM 118</t>
  </si>
  <si>
    <t>GENERAL AID—SPECIAL EDUCATION FUND</t>
  </si>
  <si>
    <t>(This form should be included with the budget document and filed with the State Board of Education)</t>
  </si>
  <si>
    <t>1.  Estimated number of Special Education Teachers (FTE*)</t>
  </si>
  <si>
    <t>4.  Estimated Weighted FTE Virtual Enrollment</t>
  </si>
  <si>
    <t xml:space="preserve">2.  Estimated (FTE*)Special Education Paraprofessionals </t>
  </si>
  <si>
    <t>times .4  =</t>
  </si>
  <si>
    <t>3.  Total number of Special Education Teachers (Line 1 + Line 2)</t>
  </si>
  <si>
    <t>*Full-time equivalency</t>
  </si>
  <si>
    <t>TRANSPORTATION AID — SPECIAL EDUCATION</t>
  </si>
  <si>
    <t xml:space="preserve">Reimbursed Transportation Costs for Special Education.  </t>
  </si>
  <si>
    <t>district is either more than 200 square miles or has an enrollment of at least 260 pupils.</t>
  </si>
  <si>
    <t>"Virtual School" means any school or educational program that: (1) Is offered for credit; (2) uses distance-learning</t>
  </si>
  <si>
    <t xml:space="preserve">technologies which predominately use internet-based methods to deliver instruction; (3) involves instruction that </t>
  </si>
  <si>
    <t>10. Capital Outlay Fund—Equipment (exclude bus purchases)</t>
  </si>
  <si>
    <t>11. Depreciation (Includes only those vehicles which are not depreciated in the regular</t>
  </si>
  <si>
    <t>(5) requires the pupil to demonstrate competence in subject matter for each class or subject in which the pupil</t>
  </si>
  <si>
    <t>12. Teacher travel (in-district)</t>
  </si>
  <si>
    <t>13. Total of Lines 5 through 12</t>
  </si>
  <si>
    <t>14.  Less:  Transportation reimbursement (include cash sale of buses, EXCLUDE State Aid)</t>
  </si>
  <si>
    <t xml:space="preserve">12.  Estimated weighted FTE virtual enrollment.  (Table V, Line 4) </t>
  </si>
  <si>
    <t>14.  Estimated Special Education weighting.  Amount of Sp. Ed. Funding (f)</t>
  </si>
  <si>
    <t>TABLE VI</t>
  </si>
  <si>
    <t>State Department of Education.</t>
  </si>
  <si>
    <t>2.  Estimated Local Effort</t>
  </si>
  <si>
    <t xml:space="preserve"> not deducted may be treated as miscellaneous revenue and placed in a fund designated under </t>
  </si>
  <si>
    <t>Estimated</t>
  </si>
  <si>
    <t>K.S.A. 72-6427 (categorical aid funds, capital outlay, or program weighted funds.)</t>
  </si>
  <si>
    <t>Form 0-135-150</t>
  </si>
  <si>
    <t>X</t>
  </si>
  <si>
    <t>USD Form 150</t>
  </si>
  <si>
    <t>ESTIMATED LEGAL MAXIMUM GENERAL FUND BUDGET</t>
  </si>
  <si>
    <t>(This form should be included with the budget document and filed with the State Department of Education)</t>
  </si>
  <si>
    <t xml:space="preserve">     (from line 3)</t>
  </si>
  <si>
    <t>x</t>
  </si>
  <si>
    <t xml:space="preserve">     FTE (a)</t>
  </si>
  <si>
    <t xml:space="preserve">     FTE(b)</t>
  </si>
  <si>
    <t>÷</t>
  </si>
  <si>
    <t>Local Option Budget --  See Form 155</t>
  </si>
  <si>
    <t xml:space="preserve">(a)  FTE is computed by taking the total clock hours of bilingual students who are enrolled and attending in an  </t>
  </si>
  <si>
    <t xml:space="preserve">     clock hours </t>
  </si>
  <si>
    <t>÷ 6 =</t>
  </si>
  <si>
    <t>(Record on Line 5)</t>
  </si>
  <si>
    <t>School Finance Section</t>
  </si>
  <si>
    <t>Special Case</t>
  </si>
  <si>
    <t>Reason</t>
  </si>
  <si>
    <t>Notes</t>
  </si>
  <si>
    <t>(A)</t>
  </si>
  <si>
    <t>(B)</t>
  </si>
  <si>
    <t>Consolidation</t>
  </si>
  <si>
    <t>Disaster ???</t>
  </si>
  <si>
    <t>18.  Estimated Medicaid Replacement State Aid</t>
  </si>
  <si>
    <t>Low and High Enrollment Weighting</t>
  </si>
  <si>
    <t>AND HIGH ENROLLMENT FACTOR</t>
  </si>
  <si>
    <t>(d)  In order to access new facilities weighting, a USD must have adopted at least a 25% LOB.</t>
  </si>
  <si>
    <t>Computation of Low and High Enrollment Weighting Factor</t>
  </si>
  <si>
    <t>in Math or Reading State Assessments in the prior year.  The virtual school must have a virtual at-risk pupil assistance plan on file with KSDE.</t>
  </si>
  <si>
    <t xml:space="preserve">Bdgt district </t>
  </si>
  <si>
    <t>bdgt to use</t>
  </si>
  <si>
    <t>Other possible</t>
  </si>
  <si>
    <t>allowed to use</t>
  </si>
  <si>
    <t>factor (Line 4) (to Line 11, Page 1)</t>
  </si>
  <si>
    <t>18.  Estimated Cost of Living weighting</t>
  </si>
  <si>
    <t>8.  Estimated High At-Risk Weighting.  (Can only qualify for one of the following)</t>
  </si>
  <si>
    <t xml:space="preserve">         District's calculated students per square mile:</t>
  </si>
  <si>
    <t xml:space="preserve">         District's calculated free lunch percentage:</t>
  </si>
  <si>
    <t>A.  Driver Education Aid (Approved Programs Only)</t>
  </si>
  <si>
    <t>B.  Motorcycle Safety Aid (Approved Programs Only)</t>
  </si>
  <si>
    <t>C.  Estimated KPERS Flow-Through</t>
  </si>
  <si>
    <t xml:space="preserve">    b.  Number of students eligible for free lunches at 35.1% and 212.1 students per square mile.</t>
  </si>
  <si>
    <t xml:space="preserve">    c.  Number of students eligible for free lunches (40-50%)</t>
  </si>
  <si>
    <t>3.  Estimated bond and interest state aid. (Line 1 minus Line 2) x  factor</t>
  </si>
  <si>
    <t>4.  Less prior year overpayment</t>
  </si>
  <si>
    <t>6.  Estimated bond and interest fund state aid payment</t>
  </si>
  <si>
    <t xml:space="preserve">     (add to Line 10, Form 150)</t>
  </si>
  <si>
    <t>(maximum allowed for this district)</t>
  </si>
  <si>
    <t>(Amt district will use, up to the maximum)</t>
  </si>
  <si>
    <t xml:space="preserve">Cost of </t>
  </si>
  <si>
    <t>Living</t>
  </si>
  <si>
    <t>Cost of</t>
  </si>
  <si>
    <t>9.  Est. Non-Proficient student weighting.  Number of non-proficient students.   (g)  (</t>
  </si>
  <si>
    <t>)</t>
  </si>
  <si>
    <t>300 - 1,621.9</t>
  </si>
  <si>
    <t>1622 and over</t>
  </si>
  <si>
    <t>Take the amount on line 21 times the calculated percentage for each fund from column 2.</t>
  </si>
  <si>
    <t>Take the amount on line 21 times the calculated percentage for each fund from column 4.</t>
  </si>
  <si>
    <t>Cost of Living</t>
  </si>
  <si>
    <t>School Retirement</t>
  </si>
  <si>
    <t>2.  Estimated Non-Proficient* Virtual Students (headcount)</t>
  </si>
  <si>
    <t>3.  Estimated Virtual Students Taking AP** Courses</t>
  </si>
  <si>
    <t>1st Semester</t>
  </si>
  <si>
    <t>2nd Semester</t>
  </si>
  <si>
    <t>hearing and answering objections of taxpayers relating to the proposed amended use of funds.</t>
  </si>
  <si>
    <t>It is recommended that these instructions be saved to use in case you have to amend your budget.</t>
  </si>
  <si>
    <t>* This provision applies to pupils that would qualify for paid or reduced priced lunches, and did not meet proficient</t>
  </si>
  <si>
    <t xml:space="preserve">** The Advanced Placement (AP) course is not available in the home district of the virtual pupil.  The home </t>
  </si>
  <si>
    <t xml:space="preserve">          - Individual fund budget for each fund being amended</t>
  </si>
  <si>
    <t>Form Amend</t>
  </si>
  <si>
    <t>* The 'other bdgt to use' does not add in the cola as that amount is added in column D and populates to line 19.</t>
  </si>
  <si>
    <t>C+G</t>
  </si>
  <si>
    <t>Bdgt2014</t>
  </si>
  <si>
    <t>(f)   Comes from form 118 (line 20).</t>
  </si>
  <si>
    <t>Virtual Enrollment Weighting (K.S.A. 72-3715, 72-3716)</t>
  </si>
  <si>
    <t>electronically with the county clerk and with the director of accounts and reports."</t>
  </si>
  <si>
    <t>occurs asynchronously with the teacher and pupil in separate locations; (4) requires the pupil to make academic</t>
  </si>
  <si>
    <t xml:space="preserve">progress toward the next grade level and matriculation from kindergarten through high school graduation; </t>
  </si>
  <si>
    <t xml:space="preserve">4.  Net Estimated Supplemental General State Aid (Line 2 - Line 3) </t>
  </si>
  <si>
    <t>13.  Estimated ancillary facilities weighting. Amt approved by Court of Tax Appeals</t>
  </si>
  <si>
    <t>is enrolled as part of the virtual school; and (6) requires age-appropriate pupils to complete state assessment tests.</t>
  </si>
  <si>
    <t xml:space="preserve">                                                          TABLE I</t>
  </si>
  <si>
    <t>TABLE V</t>
  </si>
  <si>
    <t>X Line 4) .................................................</t>
  </si>
  <si>
    <t>4.  Max LOB percentage authority with election to exceed 30% (Lines 1+2  OR Lines 1+3) (Max 31%)</t>
  </si>
  <si>
    <t>Form 194-Estimated Motor Vehicle Tax and IRB Payments</t>
  </si>
  <si>
    <t>High At-Risk Weighting Calculation</t>
  </si>
  <si>
    <t>1.  Calculated free lunch percentage for the current year</t>
  </si>
  <si>
    <t>2.  District's calculated free lunch percentage for the prior year</t>
  </si>
  <si>
    <t>4.  Free lunch percentage to be used for budget purposes (higher of line 1, 2, or 3) (Goes to page 1, line 8)</t>
  </si>
  <si>
    <t>3.  3 YR AVG %:   (</t>
  </si>
  <si>
    <t>(Comes from Table VI, Line 4)</t>
  </si>
  <si>
    <t xml:space="preserve">Current total </t>
  </si>
  <si>
    <t>weighted bdgt</t>
  </si>
  <si>
    <t xml:space="preserve">                   FORM 241</t>
  </si>
  <si>
    <t xml:space="preserve">                                                FORM 242</t>
  </si>
  <si>
    <t>USD 441, 488   (current or prior comb. budget with current special ed)</t>
  </si>
  <si>
    <t>19.  Estimated Special Education State Aid on behalf of Cooperative/Interlocal (Form 120)</t>
  </si>
  <si>
    <t>&lt;-- amount district will use of the cost of living amount</t>
  </si>
  <si>
    <t>Special Cases to computing the operating budget on line 16</t>
  </si>
  <si>
    <t>C</t>
  </si>
  <si>
    <t>(D)</t>
  </si>
  <si>
    <t>(E)</t>
  </si>
  <si>
    <t>(F)</t>
  </si>
  <si>
    <t>(G)</t>
  </si>
  <si>
    <t>Add in COLA</t>
  </si>
  <si>
    <t xml:space="preserve">balance from approved funds to pay for general operating expenses out of the general fund as approved by </t>
  </si>
  <si>
    <t>the local board: 1. At Risk (K-12), Bilingual, Contingency Reserve, Driver Training, Parent Education Program,</t>
  </si>
  <si>
    <t>At Risk (Pre-K), Professional Development, Summer School, Virtual School, and Vocational Education;</t>
  </si>
  <si>
    <t>2.  Textbook and Student Materials; and 3.  Special Education.</t>
  </si>
  <si>
    <t xml:space="preserve">     j.   Transfers From Authorized Funds (Code 06 Line 165)**</t>
  </si>
  <si>
    <t>4.  FTE enrollment for budget purposes (higher of line 1, 2, or 3)(Goes to page 1, line 1 if no military provision; see Table IV.)</t>
  </si>
  <si>
    <t>USD 425, 433   (current or prior comb. budget with current special ed)</t>
  </si>
  <si>
    <t>Form 241A-Estimated Bond &amp; Interest #2 State Aid</t>
  </si>
  <si>
    <t>Form 195-Estimated State Aids for Drivers Education, Motorcycle Safety and KPERS</t>
  </si>
  <si>
    <t>Bilingual Education</t>
  </si>
  <si>
    <t>Contingency Reserve</t>
  </si>
  <si>
    <t>Driver Training</t>
  </si>
  <si>
    <t>Parent Education Program</t>
  </si>
  <si>
    <t>At-risk Education (Pre-School)</t>
  </si>
  <si>
    <t>Cons/LandTrans</t>
  </si>
  <si>
    <t>Bdgt2013</t>
  </si>
  <si>
    <t>USD 279 Dissolved - land transfer to USD 273 &amp; 107</t>
  </si>
  <si>
    <t>(2008-09 Spec Ed)</t>
  </si>
  <si>
    <t>2.  Estimated Federal Tax Credit (Build America Bonds)</t>
  </si>
  <si>
    <t>How many years do you anticipate it will be until state revenues are available to</t>
  </si>
  <si>
    <t>increase spending for schools?</t>
  </si>
  <si>
    <t>1)</t>
  </si>
  <si>
    <t>2)</t>
  </si>
  <si>
    <t>3)</t>
  </si>
  <si>
    <t>What is the maximum amount that can be used of the cash balance to help increase</t>
  </si>
  <si>
    <t>4)</t>
  </si>
  <si>
    <t>3.  Estimated bond and interest state aid. (Line 1 minus Line 2) x factor</t>
  </si>
  <si>
    <t>3.  Estimated bond and interest state aid.  (Line 1 minus Line 2) x factor</t>
  </si>
  <si>
    <t xml:space="preserve">*You cannot transfer more than one-third of the cash balance for the special education fund or the </t>
  </si>
  <si>
    <t>textbook and student materials revolving fund.</t>
  </si>
  <si>
    <t>Also, remember that a budget cannot be amended after the year is completed.   We recommend that an explanation</t>
  </si>
  <si>
    <t>be included in the heading so taxpayers understand why an amendment is necessary.</t>
  </si>
  <si>
    <t xml:space="preserve">          - Certificate page (Code 01)</t>
  </si>
  <si>
    <t xml:space="preserve">          - Notice of Hearing (Code 99)</t>
  </si>
  <si>
    <t xml:space="preserve">          - Proof of Publication </t>
  </si>
  <si>
    <t>Adult Supplemental Education</t>
  </si>
  <si>
    <t>At Risk (K-12)</t>
  </si>
  <si>
    <t>Virtual Education</t>
  </si>
  <si>
    <t>Extraordinary School Program</t>
  </si>
  <si>
    <t>Food Service</t>
  </si>
  <si>
    <t>Summer School</t>
  </si>
  <si>
    <t>Special Education</t>
  </si>
  <si>
    <t>Gifts/Grants</t>
  </si>
  <si>
    <t>Special Liability</t>
  </si>
  <si>
    <t>Special Reserve</t>
  </si>
  <si>
    <t>KPERS Spec. Ret. Contribution</t>
  </si>
  <si>
    <t>Text Book &amp; Student Material</t>
  </si>
  <si>
    <t>Tuition Reimbursement</t>
  </si>
  <si>
    <t>Bond and Interest #1</t>
  </si>
  <si>
    <t>Bond and Interest #2</t>
  </si>
  <si>
    <t>Temporary Note</t>
  </si>
  <si>
    <t>Special Education Coop</t>
  </si>
  <si>
    <t>USD TOTAL</t>
  </si>
  <si>
    <t>Enrollment (FTE)*</t>
  </si>
  <si>
    <t>Amount per Pupil</t>
  </si>
  <si>
    <r>
      <t xml:space="preserve">3.  Electronically file </t>
    </r>
    <r>
      <rPr>
        <u/>
        <sz val="10"/>
        <rFont val="Arial"/>
        <family val="2"/>
      </rPr>
      <t>one</t>
    </r>
    <r>
      <rPr>
        <sz val="10"/>
        <rFont val="Arial"/>
      </rPr>
      <t xml:space="preserve"> copy of the following forms with the county clerk </t>
    </r>
    <r>
      <rPr>
        <u/>
        <sz val="10"/>
        <rFont val="Arial"/>
        <family val="2"/>
      </rPr>
      <t>and</t>
    </r>
    <r>
      <rPr>
        <sz val="10"/>
        <rFont val="Arial"/>
      </rPr>
      <t/>
    </r>
  </si>
  <si>
    <r>
      <t xml:space="preserve">     file </t>
    </r>
    <r>
      <rPr>
        <u/>
        <sz val="10"/>
        <rFont val="Arial"/>
        <family val="2"/>
      </rPr>
      <t>one</t>
    </r>
    <r>
      <rPr>
        <sz val="10"/>
        <rFont val="Arial"/>
      </rPr>
      <t xml:space="preserve"> paper copy of the following forms with the State Department of Education (School Finance):</t>
    </r>
  </si>
  <si>
    <r>
      <rPr>
        <b/>
        <sz val="10"/>
        <rFont val="Arial"/>
        <family val="2"/>
      </rPr>
      <t>NEW:</t>
    </r>
    <r>
      <rPr>
        <sz val="10"/>
        <rFont val="Arial"/>
      </rPr>
      <t xml:space="preserve">  K.S.A. 2008 Supp. 79-2828a(b)… "Beginning in 2009, all such budget information shall be filed </t>
    </r>
  </si>
  <si>
    <t>16.  Estimated FHSU Math &amp; Science Academy FTE enrollment</t>
  </si>
  <si>
    <t>*Enrollment (FTE) includes the enrollment of the district used for state aid and budget authority, and all other</t>
  </si>
  <si>
    <t>15.  Estimated Declining Enrollment weighting.  Amt apprvd by Court of Tax Appeals</t>
  </si>
  <si>
    <t>2.  Authorized Percent of LOB due to Election effective 2007-08 and thereafter</t>
  </si>
  <si>
    <t>Other Certified (Licensed) Personnel:</t>
  </si>
  <si>
    <t>&lt;--adds in cost of living to consolidated</t>
  </si>
  <si>
    <t>&lt;--check for consolidated districts and use a different budget if greater than this year's, as allowed by legislature</t>
  </si>
  <si>
    <t>USD 328, 354   (current or prior comb. budget with current special ed)</t>
  </si>
  <si>
    <t>Transfer to General</t>
  </si>
  <si>
    <t>divided by the number</t>
  </si>
  <si>
    <t>1.  Adopted local option budget (Cannot exceed Line 6, Form 155)</t>
  </si>
  <si>
    <t xml:space="preserve">Line 2 </t>
  </si>
  <si>
    <t>the general fund?  [$232 x adj. (weighted) FTE enrollment, excluding special education]</t>
  </si>
  <si>
    <t>USD 406, 486   (current or prior comb. budget with current special ed)</t>
  </si>
  <si>
    <t>36.61     to          0.1142</t>
  </si>
  <si>
    <t>Bdgt2016</t>
  </si>
  <si>
    <t>USD 213 dissolved into USD 211 (current or prior comb. budget with current special ed)</t>
  </si>
  <si>
    <t>**Senate Bill 111 authorizes for 2011-12 school year, any school district to expend the unencumbered cash</t>
  </si>
  <si>
    <t>USD 228 Dissolved - land transfer to USD 227</t>
  </si>
  <si>
    <t>USD 424 Dissolved - land transfer to USD 422</t>
  </si>
  <si>
    <t>Form 149-Transfer Cash Balances to General Fund</t>
  </si>
  <si>
    <t>F155 - H10</t>
  </si>
  <si>
    <t>F155 - J10</t>
  </si>
  <si>
    <t>Date Exp.</t>
  </si>
  <si>
    <t>% Election</t>
  </si>
  <si>
    <t>is either the answer in question 1 column 4 or question 3 (whichever is lower).</t>
  </si>
  <si>
    <t xml:space="preserve">Take the amount on Form 110, Page 2, Lines 13, 14, 15 and 16 and multiply by .67. </t>
  </si>
  <si>
    <t xml:space="preserve">Take the amount on Form 110, Page 2, lines 13, 14, 15 and 16 and multiply by .33. </t>
  </si>
  <si>
    <t>3.  TOTAL (2a + 2b + 2c + 2d + 2e + 2f + 2g + 2h + 2i + 2j)</t>
  </si>
  <si>
    <r>
      <t xml:space="preserve">TRANSFER CASH BALANCES TO GENERAL FUND </t>
    </r>
    <r>
      <rPr>
        <sz val="10"/>
        <rFont val="Arial"/>
      </rPr>
      <t>(2011-12 only)</t>
    </r>
  </si>
  <si>
    <t>What is the minimum cash balance you would need to ensure cash flow for the following funds,</t>
  </si>
  <si>
    <t>and the estimated cash balance on July 1, 2011?</t>
  </si>
  <si>
    <t>Col. 1</t>
  </si>
  <si>
    <t>Col. 2</t>
  </si>
  <si>
    <t>Col. 3</t>
  </si>
  <si>
    <t>Est. Balance 
on 7/1/11</t>
  </si>
  <si>
    <t>Minimum Balance</t>
  </si>
  <si>
    <t>Difference
(Col. 1-2)</t>
  </si>
  <si>
    <t>At-risk Education (K-12)</t>
  </si>
  <si>
    <t>The governing body of</t>
  </si>
  <si>
    <t xml:space="preserve">will meet on the </t>
  </si>
  <si>
    <t>day of</t>
  </si>
  <si>
    <t>at</t>
  </si>
  <si>
    <t>…budget information is available at…</t>
  </si>
  <si>
    <t>Professional Development</t>
  </si>
  <si>
    <t>Summer Program</t>
  </si>
  <si>
    <t>Virtual School</t>
  </si>
  <si>
    <t>Vocational Education</t>
  </si>
  <si>
    <t>*Special Education</t>
  </si>
  <si>
    <t xml:space="preserve"> </t>
  </si>
  <si>
    <r>
      <t xml:space="preserve">(Month spelled out, for example:  </t>
    </r>
    <r>
      <rPr>
        <sz val="10"/>
        <color indexed="10"/>
        <rFont val="Arial"/>
        <family val="2"/>
      </rPr>
      <t>August</t>
    </r>
    <r>
      <rPr>
        <sz val="10"/>
        <rFont val="Arial"/>
      </rPr>
      <t>)</t>
    </r>
  </si>
  <si>
    <r>
      <t xml:space="preserve">(time, for example: </t>
    </r>
    <r>
      <rPr>
        <sz val="10"/>
        <color indexed="10"/>
        <rFont val="Arial"/>
        <family val="2"/>
      </rPr>
      <t xml:space="preserve"> 8:30 AM</t>
    </r>
    <r>
      <rPr>
        <sz val="10"/>
        <rFont val="Arial"/>
      </rPr>
      <t>)</t>
    </r>
  </si>
  <si>
    <t>What amount could be reasonably transferred from the special funds listed above to</t>
  </si>
  <si>
    <t>increase the balance in the general fund?  [Determine the amount available by taking</t>
  </si>
  <si>
    <t>*Textbook and Student 
Materials Revolving</t>
  </si>
  <si>
    <t>5)</t>
  </si>
  <si>
    <r>
      <t xml:space="preserve">(numerical day of month, for example: </t>
    </r>
    <r>
      <rPr>
        <sz val="10"/>
        <color indexed="10"/>
        <rFont val="Arial"/>
        <family val="2"/>
      </rPr>
      <t>8th</t>
    </r>
    <r>
      <rPr>
        <sz val="10"/>
        <rFont val="Arial"/>
      </rPr>
      <t>)</t>
    </r>
  </si>
  <si>
    <r>
      <t xml:space="preserve">(Month spelled out, for example:  </t>
    </r>
    <r>
      <rPr>
        <sz val="10"/>
        <color indexed="10"/>
        <rFont val="Arial"/>
        <family val="2"/>
      </rPr>
      <t>May</t>
    </r>
    <r>
      <rPr>
        <sz val="10"/>
        <rFont val="Arial"/>
      </rPr>
      <t>)</t>
    </r>
  </si>
  <si>
    <t>The amount to be transferred to the general fund for the 2011-12 school year</t>
  </si>
  <si>
    <r>
      <t xml:space="preserve">(date that the Superintendent certifies the budget on the Certify page, example: </t>
    </r>
    <r>
      <rPr>
        <sz val="10"/>
        <color indexed="10"/>
        <rFont val="Arial"/>
        <family val="2"/>
      </rPr>
      <t>8/1/2011</t>
    </r>
    <r>
      <rPr>
        <sz val="10"/>
        <rFont val="Arial"/>
      </rPr>
      <t>)</t>
    </r>
  </si>
  <si>
    <t>questions on the budget, please contact the School Finance office at 785-296-3871.</t>
  </si>
  <si>
    <r>
      <rPr>
        <b/>
        <sz val="8"/>
        <rFont val="Arial"/>
        <family val="2"/>
      </rPr>
      <t>Note:</t>
    </r>
    <r>
      <rPr>
        <sz val="8"/>
        <rFont val="Arial"/>
        <family val="2"/>
      </rPr>
      <t xml:space="preserve">  This worksheet is intended for district use only and is not part of the USD budget document.  If you have</t>
    </r>
  </si>
  <si>
    <t>Return to Contents</t>
  </si>
  <si>
    <t>Unencumbered Cash Balance by Fund</t>
  </si>
  <si>
    <t>Fund Name</t>
  </si>
  <si>
    <t>Fund #</t>
  </si>
  <si>
    <t>Federal Funds</t>
  </si>
  <si>
    <t>Supplemental General</t>
  </si>
  <si>
    <t>At Risk (4yr Old)</t>
  </si>
  <si>
    <t>AVERAGE SALARY</t>
  </si>
  <si>
    <t>Total Salary</t>
  </si>
  <si>
    <t>Average Salary</t>
  </si>
  <si>
    <t>Administrators (Certified/Non-Certified)</t>
  </si>
  <si>
    <t>Teachers (Full Time)</t>
  </si>
  <si>
    <t>Other Certified (Licensed) Personnel</t>
  </si>
  <si>
    <t>Classified Personnel</t>
  </si>
  <si>
    <t>Substitutes/Temporary Help</t>
  </si>
  <si>
    <t>DEFINITIONS</t>
  </si>
  <si>
    <t>Administrators:</t>
  </si>
  <si>
    <t>*Certified (Licensed) - Superintendent; Assistant Superintendent; Administrative Assistants;</t>
  </si>
  <si>
    <t>Principals; Assistant Principals; Directors/Supervisors Special Education; Directors/Supervisors of</t>
  </si>
  <si>
    <t>Public Lib. Emp. Benefits</t>
  </si>
  <si>
    <t>Recreation Commission</t>
  </si>
  <si>
    <t>Rec. Comm. Emp. Benefits</t>
  </si>
  <si>
    <t>OTHER TOTAL</t>
  </si>
  <si>
    <t>NOTE:  Gifts/Grants includes private grants and grants from nonfederal sources.</t>
  </si>
  <si>
    <t>Amount per pupil excludes the following funds:  Special Assessment, Historical Museum, Public Library, Public Lib. Emp. Benefits,</t>
  </si>
  <si>
    <t>Recreation Commission and Rec. Comm. Emp. Benefits.</t>
  </si>
  <si>
    <t>(Directors/Coordinators/Supervisors); Other (Directors/Coordinators/Supervisors).</t>
  </si>
  <si>
    <t>Teachers (Full Time Only):</t>
  </si>
  <si>
    <t>preschool enrollment and kindergarten students attending full time.</t>
  </si>
  <si>
    <t>xxxx</t>
  </si>
  <si>
    <t>Cash Balances on all funds</t>
  </si>
  <si>
    <t>Activity Fund</t>
  </si>
  <si>
    <t>Part-Time Teachers; Library Media Specialists; School Counselors; Clinical or School</t>
  </si>
  <si>
    <t>Kindergarten Teachers; Reading Specialists/Teachers; All Other Teachers.</t>
  </si>
  <si>
    <t>21. Total General Fund Budget Authority (Form 150 Line 19 + Line 20)</t>
  </si>
  <si>
    <t>Line 21 goes to Code 06 &amp; F148</t>
  </si>
  <si>
    <t>Line 22 goes to Form 155 line 5</t>
  </si>
  <si>
    <t>Col. 4</t>
  </si>
  <si>
    <t>Workers; Custodians, Bus Drivers.</t>
  </si>
  <si>
    <t>Substitutes/Temporary:</t>
  </si>
  <si>
    <t>of years until state revenues increase (question 2)</t>
  </si>
  <si>
    <t>]                         =</t>
  </si>
  <si>
    <t>Report total salary including employee reduction plans***, supplemental and extra pay for</t>
  </si>
  <si>
    <t>20.  Amount to transfer to General Fund (Form 149, Line 5).</t>
  </si>
  <si>
    <t>This amount will be transferred to Line 20 of Form 150.</t>
  </si>
  <si>
    <t>Old range: A289 :B2110     .1299 -18.22</t>
  </si>
  <si>
    <t>Updated cells J137 &amp; N151</t>
  </si>
  <si>
    <t xml:space="preserve">Check formula J137 each year to match the maximum Density from the table </t>
  </si>
  <si>
    <t>USD 442, 451   (current or prior comb. budget with current special ed)</t>
  </si>
  <si>
    <t>Land Transfer</t>
  </si>
  <si>
    <t>Not used!!!</t>
  </si>
  <si>
    <t xml:space="preserve"> 9-10 month contract should be reported as 1.0; FTE for Principals with a 10-12 month contract should be reported as 1.0; FTE for Superintendents with a </t>
  </si>
  <si>
    <t>12 month contract should be reported as 1.0.</t>
  </si>
  <si>
    <t>**FTE of 1.0 for Non-Certified Administrators, Classified Personnel and Substitutes/Temporary should be based upon 2,080 hours.</t>
  </si>
  <si>
    <t>***Employee reduction plans include benefits received by employees under a Section 125 Salary Reduction Agreement.  Does not include social security,</t>
  </si>
  <si>
    <t>In order to help you fill out the headings on the Certify, Certificate (C01), Notice of Hearing (CO99) and Amendment (Amend),</t>
  </si>
  <si>
    <t>fill in the information on this sheet and it will be transferred over to the correct places.</t>
  </si>
  <si>
    <t>Certificate (C01):</t>
  </si>
  <si>
    <t>(Comes from the county entered on the Open page and makes it all caps.)</t>
  </si>
  <si>
    <t>…acting officers of …</t>
  </si>
  <si>
    <t>Notice of Hearing (CO99):</t>
  </si>
  <si>
    <t xml:space="preserve">   The date now comes from the Headings sheet on the FORMS.XLS file.</t>
  </si>
  <si>
    <t>Headings (Certify, C01, C099 &amp; Amend)</t>
  </si>
  <si>
    <t>Salaries page</t>
  </si>
  <si>
    <t>Amendment (Amend):</t>
  </si>
  <si>
    <t xml:space="preserve">day of </t>
  </si>
  <si>
    <t>Certify:</t>
  </si>
  <si>
    <t>Date:</t>
  </si>
  <si>
    <r>
      <t xml:space="preserve">(numerical day of month, for example: </t>
    </r>
    <r>
      <rPr>
        <sz val="10"/>
        <color indexed="10"/>
        <rFont val="Arial"/>
        <family val="2"/>
      </rPr>
      <t>6th</t>
    </r>
    <r>
      <rPr>
        <sz val="10"/>
        <rFont val="Arial"/>
      </rPr>
      <t>)</t>
    </r>
  </si>
  <si>
    <t>= number of errors in Question 1</t>
  </si>
  <si>
    <r>
      <t xml:space="preserve">(street address for location of meeting, for example:  </t>
    </r>
    <r>
      <rPr>
        <sz val="10"/>
        <color indexed="10"/>
        <rFont val="Arial"/>
        <family val="2"/>
      </rPr>
      <t>131 East Commercial</t>
    </r>
    <r>
      <rPr>
        <sz val="10"/>
        <rFont val="Arial"/>
      </rPr>
      <t>)</t>
    </r>
  </si>
  <si>
    <t>NESS</t>
  </si>
  <si>
    <t>TREGO</t>
  </si>
  <si>
    <t>ELLIS</t>
  </si>
  <si>
    <t>15th</t>
  </si>
  <si>
    <t>August</t>
  </si>
  <si>
    <r>
      <t xml:space="preserve">(location budget information can be found on any day, for example:  </t>
    </r>
    <r>
      <rPr>
        <sz val="10"/>
        <color indexed="10"/>
        <rFont val="Arial"/>
        <family val="2"/>
      </rPr>
      <t>district office</t>
    </r>
    <r>
      <rPr>
        <sz val="10"/>
        <rFont val="Arial"/>
      </rPr>
      <t>)</t>
    </r>
  </si>
  <si>
    <t>summer school, and board paid fringe benefits (employer paid)****.</t>
  </si>
  <si>
    <r>
      <t xml:space="preserve">(time, for example:  </t>
    </r>
    <r>
      <rPr>
        <sz val="10"/>
        <color indexed="10"/>
        <rFont val="Arial"/>
        <family val="2"/>
      </rPr>
      <t>8:30 AM</t>
    </r>
    <r>
      <rPr>
        <sz val="10"/>
        <rFont val="Arial"/>
      </rPr>
      <t>)</t>
    </r>
  </si>
  <si>
    <r>
      <t xml:space="preserve">(year, for example: </t>
    </r>
    <r>
      <rPr>
        <sz val="10"/>
        <color indexed="10"/>
        <rFont val="Arial"/>
        <family val="2"/>
      </rPr>
      <t>2011</t>
    </r>
    <r>
      <rPr>
        <sz val="10"/>
        <rFont val="Arial"/>
      </rPr>
      <t>)</t>
    </r>
  </si>
  <si>
    <r>
      <t xml:space="preserve">*FTE for Certified Administrators, Teachers and Other Certified (Licensed) Personnel is defined by the local school board.  </t>
    </r>
    <r>
      <rPr>
        <b/>
        <i/>
        <sz val="10"/>
        <rFont val="Arial"/>
        <family val="2"/>
      </rPr>
      <t>Generally</t>
    </r>
    <r>
      <rPr>
        <sz val="10"/>
        <rFont val="Arial"/>
      </rPr>
      <t xml:space="preserve"> FTE for teachers with a </t>
    </r>
  </si>
  <si>
    <t xml:space="preserve">I hereby certify that the budget amounts and expenditures within this document are in compliance with the Kansas Accounting Handbook to the best of my knowledge. </t>
  </si>
  <si>
    <t>USD# and Name:</t>
  </si>
  <si>
    <t>Superintendent:</t>
  </si>
  <si>
    <t xml:space="preserve">   Superintendent should sign document once printed.</t>
  </si>
  <si>
    <r>
      <t xml:space="preserve">   </t>
    </r>
    <r>
      <rPr>
        <b/>
        <u/>
        <sz val="10"/>
        <color indexed="56"/>
        <rFont val="Arial"/>
        <family val="2"/>
      </rPr>
      <t>No data is entered on this sheet</t>
    </r>
    <r>
      <rPr>
        <b/>
        <u/>
        <sz val="10"/>
        <color indexed="56"/>
        <rFont val="Arial"/>
        <family val="2"/>
      </rPr>
      <t>:</t>
    </r>
  </si>
  <si>
    <t xml:space="preserve">   USD # and name comes from the (Codes.xls) Open sheet cell B3.</t>
  </si>
  <si>
    <t>workers' compensation, and unemployment insurance.</t>
  </si>
  <si>
    <t xml:space="preserve">****Board paid fringe benefits (employer paid) include group life, group health, disability income, accidental death and dismemberment, and hospital </t>
  </si>
  <si>
    <t>surgical, and/or medical expense insurance.  Does not include social security, workers' compensation, and unemployment insurance.</t>
  </si>
  <si>
    <t>XXXXX</t>
  </si>
  <si>
    <t>XXXXXXXXX</t>
  </si>
  <si>
    <t xml:space="preserve">Health; Directors/Supervisors of VocEd; Instructional Coordinators/Supervisors; All Other </t>
  </si>
  <si>
    <t>Directors/Supervisors.</t>
  </si>
  <si>
    <t>** Non-Certified - Assistant Superintendents; Business Managers; Business Services</t>
  </si>
  <si>
    <t>(Directors/Coordinators/Supervisors); Food Service (Directors/Coordinators/Supervisors);</t>
  </si>
  <si>
    <t>Transportation (Directors/Coordinators/Supervisors); Custodial Maintenance</t>
  </si>
  <si>
    <t>Certify-Superintendent must sign!</t>
  </si>
  <si>
    <t>the total in the Difference column (question 1, Col 4)     $</t>
  </si>
  <si>
    <t>*Practical Arts/Vocational Teachers; Special Education Teachers; Prekindergarten Teachers;</t>
  </si>
  <si>
    <t>General Fund Budget – Lines 1 through 21</t>
  </si>
  <si>
    <t>Bdgt2015</t>
  </si>
  <si>
    <t>Bdgt2017</t>
  </si>
  <si>
    <t>6:30 PM</t>
  </si>
  <si>
    <t>616 Main St., La Crosse, KS 67548</t>
  </si>
  <si>
    <t>District Office</t>
  </si>
  <si>
    <t>Psychologists; Speech Pathologists; Audiologists; Nurses (RN); Social Workers.</t>
  </si>
  <si>
    <t>Classified Personnel:</t>
  </si>
  <si>
    <t>**Attendance Services Staff; Library Media Aides; Security Officers; Regular Education Teacher</t>
  </si>
  <si>
    <t>Aides; Secretarial/Clerical; Special Education Paraprofessionals; Nurses (LPN); Food Service</t>
  </si>
  <si>
    <t>**Substitute Teachers, Coaching Assistants and other short term temporary help.</t>
  </si>
  <si>
    <t>Total Salary:</t>
  </si>
</sst>
</file>

<file path=xl/styles.xml><?xml version="1.0" encoding="utf-8"?>
<styleSheet xmlns="http://schemas.openxmlformats.org/spreadsheetml/2006/main" xmlns:mc="http://schemas.openxmlformats.org/markup-compatibility/2006" xmlns:x14ac="http://schemas.microsoft.com/office/spreadsheetml/2009/9/ac" mc:Ignorable="x14ac">
  <numFmts count="26">
    <numFmt numFmtId="5" formatCode="&quot;$&quot;#,##0_);\(&quot;$&quot;#,##0\)"/>
    <numFmt numFmtId="7" formatCode="&quot;$&quot;#,##0.00_);\(&quot;$&quot;#,##0.00\)"/>
    <numFmt numFmtId="164" formatCode="m/yy"/>
    <numFmt numFmtId="165" formatCode="\(0\)"/>
    <numFmt numFmtId="166" formatCode="0.000"/>
    <numFmt numFmtId="167" formatCode="\(##\)"/>
    <numFmt numFmtId="168" formatCode="0.0000"/>
    <numFmt numFmtId="170" formatCode="\ \(##\)"/>
    <numFmt numFmtId="171" formatCode="#,##0.0"/>
    <numFmt numFmtId="172" formatCode="m/yyyy"/>
    <numFmt numFmtId="173" formatCode="&quot;$&quot;#,##0"/>
    <numFmt numFmtId="174" formatCode="000"/>
    <numFmt numFmtId="176" formatCode="0.0"/>
    <numFmt numFmtId="177" formatCode="0.000000"/>
    <numFmt numFmtId="180" formatCode="#,##0.#"/>
    <numFmt numFmtId="183" formatCode="####.#"/>
    <numFmt numFmtId="184" formatCode="###0.0"/>
    <numFmt numFmtId="190" formatCode="0."/>
    <numFmt numFmtId="191" formatCode=".0000"/>
    <numFmt numFmtId="193" formatCode=".00"/>
    <numFmt numFmtId="205" formatCode="#,##0.0000"/>
    <numFmt numFmtId="207" formatCode="0.0000_);\(0.0000\)"/>
    <numFmt numFmtId="208" formatCode="#,##0.0_);\(#,##0.0\)"/>
    <numFmt numFmtId="209" formatCode="0_);\(0\)"/>
    <numFmt numFmtId="211" formatCode="[$-409]mmmm\ d\,\ yyyy;@"/>
    <numFmt numFmtId="213" formatCode="m/d/yyyy;@"/>
  </numFmts>
  <fonts count="76">
    <font>
      <sz val="10"/>
      <name val="Arial"/>
    </font>
    <font>
      <sz val="10"/>
      <name val="Arial"/>
    </font>
    <font>
      <sz val="10"/>
      <name val="Geneva"/>
    </font>
    <font>
      <sz val="12"/>
      <name val="Times"/>
    </font>
    <font>
      <sz val="11"/>
      <name val="Arial"/>
      <family val="2"/>
    </font>
    <font>
      <b/>
      <sz val="11"/>
      <name val="Arial"/>
      <family val="2"/>
    </font>
    <font>
      <sz val="12"/>
      <name val="Arial"/>
      <family val="2"/>
    </font>
    <font>
      <b/>
      <i/>
      <sz val="11"/>
      <name val="Arial"/>
      <family val="2"/>
    </font>
    <font>
      <sz val="11"/>
      <color indexed="10"/>
      <name val="Arial"/>
      <family val="2"/>
    </font>
    <font>
      <sz val="9"/>
      <color indexed="81"/>
      <name val="Geneva"/>
    </font>
    <font>
      <b/>
      <sz val="10"/>
      <name val="Arial"/>
      <family val="2"/>
    </font>
    <font>
      <sz val="12"/>
      <color indexed="10"/>
      <name val="Arial"/>
      <family val="2"/>
    </font>
    <font>
      <sz val="10"/>
      <name val="Arial"/>
    </font>
    <font>
      <sz val="12"/>
      <color indexed="18"/>
      <name val="Arial"/>
      <family val="2"/>
    </font>
    <font>
      <sz val="10"/>
      <name val="Times"/>
    </font>
    <font>
      <b/>
      <sz val="12"/>
      <name val="Arial"/>
      <family val="2"/>
    </font>
    <font>
      <sz val="10"/>
      <color indexed="10"/>
      <name val="Arial"/>
      <family val="2"/>
    </font>
    <font>
      <b/>
      <sz val="10"/>
      <name val="Arial"/>
      <family val="2"/>
    </font>
    <font>
      <sz val="10"/>
      <color indexed="10"/>
      <name val="Arial"/>
      <family val="2"/>
    </font>
    <font>
      <u/>
      <sz val="10"/>
      <name val="Arial"/>
      <family val="2"/>
    </font>
    <font>
      <b/>
      <sz val="10"/>
      <color indexed="10"/>
      <name val="Arial"/>
      <family val="2"/>
    </font>
    <font>
      <sz val="12"/>
      <name val="Arial"/>
      <family val="2"/>
    </font>
    <font>
      <i/>
      <sz val="12"/>
      <name val="Arial"/>
      <family val="2"/>
    </font>
    <font>
      <b/>
      <i/>
      <sz val="10"/>
      <name val="Arial"/>
      <family val="2"/>
    </font>
    <font>
      <u/>
      <sz val="10"/>
      <color indexed="12"/>
      <name val="Arial"/>
    </font>
    <font>
      <i/>
      <sz val="10"/>
      <name val="Arial"/>
      <family val="2"/>
    </font>
    <font>
      <sz val="8"/>
      <name val="Arial"/>
      <family val="2"/>
    </font>
    <font>
      <b/>
      <sz val="11"/>
      <name val="Arial"/>
      <family val="2"/>
    </font>
    <font>
      <sz val="8"/>
      <color indexed="81"/>
      <name val="Tahoma"/>
      <family val="2"/>
    </font>
    <font>
      <sz val="10"/>
      <color indexed="81"/>
      <name val="Arial"/>
      <family val="2"/>
    </font>
    <font>
      <sz val="11"/>
      <color indexed="10"/>
      <name val="Arial"/>
      <family val="2"/>
    </font>
    <font>
      <u/>
      <sz val="8"/>
      <name val="Arial"/>
      <family val="2"/>
    </font>
    <font>
      <sz val="8"/>
      <name val="Arial"/>
      <family val="2"/>
    </font>
    <font>
      <sz val="10"/>
      <color indexed="17"/>
      <name val="Arial"/>
      <family val="2"/>
    </font>
    <font>
      <b/>
      <u/>
      <sz val="10"/>
      <name val="Arial"/>
      <family val="2"/>
    </font>
    <font>
      <sz val="14"/>
      <name val="Arial"/>
      <family val="2"/>
    </font>
    <font>
      <i/>
      <sz val="10"/>
      <color indexed="10"/>
      <name val="Arial"/>
      <family val="2"/>
    </font>
    <font>
      <b/>
      <i/>
      <sz val="10"/>
      <color indexed="10"/>
      <name val="Arial"/>
      <family val="2"/>
    </font>
    <font>
      <b/>
      <sz val="10"/>
      <color indexed="17"/>
      <name val="Arial"/>
      <family val="2"/>
    </font>
    <font>
      <sz val="10"/>
      <name val="Arial Narrow"/>
      <family val="2"/>
    </font>
    <font>
      <sz val="10"/>
      <color indexed="62"/>
      <name val="Arial"/>
      <family val="2"/>
    </font>
    <font>
      <sz val="8"/>
      <color indexed="10"/>
      <name val="Arial"/>
      <family val="2"/>
    </font>
    <font>
      <sz val="8"/>
      <color indexed="62"/>
      <name val="Arial"/>
      <family val="2"/>
    </font>
    <font>
      <sz val="10"/>
      <color indexed="9"/>
      <name val="Arial"/>
      <family val="2"/>
    </font>
    <font>
      <b/>
      <sz val="10"/>
      <color indexed="9"/>
      <name val="Arial"/>
      <family val="2"/>
    </font>
    <font>
      <sz val="10"/>
      <color indexed="18"/>
      <name val="Arial"/>
      <family val="2"/>
    </font>
    <font>
      <sz val="9"/>
      <name val="Arial Narrow"/>
      <family val="2"/>
    </font>
    <font>
      <u/>
      <sz val="10"/>
      <name val="Arial"/>
      <family val="2"/>
    </font>
    <font>
      <u/>
      <sz val="10"/>
      <color indexed="12"/>
      <name val="Arial"/>
    </font>
    <font>
      <i/>
      <sz val="12"/>
      <color indexed="10"/>
      <name val="Arial"/>
      <family val="2"/>
    </font>
    <font>
      <b/>
      <sz val="8"/>
      <color indexed="81"/>
      <name val="Tahoma"/>
      <family val="2"/>
    </font>
    <font>
      <sz val="8"/>
      <color indexed="81"/>
      <name val="Tahoma"/>
      <family val="2"/>
    </font>
    <font>
      <sz val="8"/>
      <color indexed="81"/>
      <name val="Tahoma"/>
      <family val="2"/>
    </font>
    <font>
      <b/>
      <sz val="8"/>
      <color indexed="81"/>
      <name val="Tahoma"/>
      <family val="2"/>
    </font>
    <font>
      <sz val="10"/>
      <color indexed="81"/>
      <name val="Tahoma"/>
      <family val="2"/>
    </font>
    <font>
      <sz val="9"/>
      <name val="Calibri"/>
      <family val="2"/>
    </font>
    <font>
      <sz val="10"/>
      <name val="Arial"/>
    </font>
    <font>
      <b/>
      <sz val="8"/>
      <name val="Arial"/>
      <family val="2"/>
    </font>
    <font>
      <sz val="10"/>
      <name val="Arial"/>
    </font>
    <font>
      <i/>
      <sz val="13"/>
      <name val="Times New Roman"/>
      <family val="1"/>
    </font>
    <font>
      <sz val="16"/>
      <name val="Arial"/>
      <family val="2"/>
    </font>
    <font>
      <b/>
      <sz val="10"/>
      <color indexed="56"/>
      <name val="Arial"/>
      <family val="2"/>
    </font>
    <font>
      <b/>
      <u/>
      <sz val="10"/>
      <color indexed="56"/>
      <name val="Arial"/>
      <family val="2"/>
    </font>
    <font>
      <sz val="10"/>
      <color indexed="56"/>
      <name val="Arial"/>
      <family val="2"/>
    </font>
    <font>
      <sz val="10"/>
      <color indexed="10"/>
      <name val="Arial"/>
      <family val="2"/>
    </font>
    <font>
      <u/>
      <sz val="8"/>
      <color indexed="10"/>
      <name val="Arial"/>
      <family val="2"/>
    </font>
    <font>
      <sz val="8"/>
      <color indexed="10"/>
      <name val="Arial"/>
      <family val="2"/>
    </font>
    <font>
      <i/>
      <sz val="10"/>
      <color indexed="10"/>
      <name val="Arial"/>
      <family val="2"/>
    </font>
    <font>
      <sz val="8"/>
      <color indexed="36"/>
      <name val="Arial"/>
      <family val="2"/>
    </font>
    <font>
      <sz val="10"/>
      <color indexed="30"/>
      <name val="Arial"/>
      <family val="2"/>
    </font>
    <font>
      <sz val="12"/>
      <color indexed="30"/>
      <name val="Arial"/>
      <family val="2"/>
    </font>
    <font>
      <sz val="10"/>
      <name val="Calibri"/>
      <family val="2"/>
    </font>
    <font>
      <sz val="10"/>
      <color indexed="36"/>
      <name val="Arial"/>
      <family val="2"/>
    </font>
    <font>
      <i/>
      <sz val="11"/>
      <color indexed="17"/>
      <name val="Arial"/>
      <family val="2"/>
    </font>
    <font>
      <b/>
      <sz val="10"/>
      <color indexed="10"/>
      <name val="Arial"/>
      <family val="2"/>
    </font>
    <font>
      <sz val="10"/>
      <color indexed="62"/>
      <name val="Arial"/>
      <family val="2"/>
    </font>
  </fonts>
  <fills count="13">
    <fill>
      <patternFill patternType="none"/>
    </fill>
    <fill>
      <patternFill patternType="gray125"/>
    </fill>
    <fill>
      <patternFill patternType="solid">
        <fgColor indexed="43"/>
        <bgColor indexed="64"/>
      </patternFill>
    </fill>
    <fill>
      <patternFill patternType="mediumGray">
        <bgColor indexed="8"/>
      </patternFill>
    </fill>
    <fill>
      <patternFill patternType="solid">
        <fgColor indexed="8"/>
        <bgColor indexed="64"/>
      </patternFill>
    </fill>
    <fill>
      <patternFill patternType="solid">
        <fgColor indexed="22"/>
        <bgColor indexed="64"/>
      </patternFill>
    </fill>
    <fill>
      <patternFill patternType="solid">
        <fgColor indexed="26"/>
        <bgColor indexed="64"/>
      </patternFill>
    </fill>
    <fill>
      <patternFill patternType="solid">
        <fgColor indexed="51"/>
        <bgColor indexed="64"/>
      </patternFill>
    </fill>
    <fill>
      <patternFill patternType="solid">
        <fgColor indexed="22"/>
        <bgColor indexed="8"/>
      </patternFill>
    </fill>
    <fill>
      <patternFill patternType="solid">
        <fgColor indexed="41"/>
        <bgColor indexed="64"/>
      </patternFill>
    </fill>
    <fill>
      <patternFill patternType="solid">
        <fgColor indexed="27"/>
        <bgColor indexed="64"/>
      </patternFill>
    </fill>
    <fill>
      <patternFill patternType="solid">
        <fgColor indexed="9"/>
        <bgColor indexed="64"/>
      </patternFill>
    </fill>
    <fill>
      <patternFill patternType="solid">
        <fgColor indexed="55"/>
        <bgColor indexed="64"/>
      </patternFill>
    </fill>
  </fills>
  <borders count="31">
    <border>
      <left/>
      <right/>
      <top/>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right/>
      <top style="thin">
        <color indexed="64"/>
      </top>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ck">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7">
    <xf numFmtId="0" fontId="0" fillId="0" borderId="0"/>
    <xf numFmtId="38" fontId="2" fillId="0" borderId="0" applyFont="0" applyFill="0" applyBorder="0" applyAlignment="0" applyProtection="0"/>
    <xf numFmtId="38" fontId="2" fillId="0" borderId="0" applyFont="0" applyFill="0" applyBorder="0" applyAlignment="0" applyProtection="0"/>
    <xf numFmtId="0" fontId="24" fillId="0" borderId="0" applyNumberFormat="0" applyFill="0" applyBorder="0" applyAlignment="0" applyProtection="0">
      <alignment vertical="top"/>
      <protection locked="0"/>
    </xf>
    <xf numFmtId="0" fontId="12" fillId="0" borderId="0"/>
    <xf numFmtId="0" fontId="2" fillId="0" borderId="0"/>
    <xf numFmtId="0" fontId="2" fillId="0" borderId="0"/>
    <xf numFmtId="0" fontId="3" fillId="0" borderId="0"/>
    <xf numFmtId="0" fontId="2" fillId="0" borderId="0"/>
    <xf numFmtId="0" fontId="1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806">
    <xf numFmtId="0" fontId="0" fillId="0" borderId="0" xfId="0"/>
    <xf numFmtId="0" fontId="4" fillId="0" borderId="0" xfId="7" applyFont="1" applyProtection="1"/>
    <xf numFmtId="0" fontId="5" fillId="0" borderId="0" xfId="7" applyFont="1" applyAlignment="1" applyProtection="1">
      <alignment horizontal="right"/>
    </xf>
    <xf numFmtId="172" fontId="4" fillId="0" borderId="0" xfId="7" applyNumberFormat="1" applyFont="1" applyAlignment="1" applyProtection="1">
      <alignment horizontal="left"/>
    </xf>
    <xf numFmtId="164" fontId="4" fillId="0" borderId="0" xfId="7" applyNumberFormat="1" applyFont="1" applyAlignment="1" applyProtection="1">
      <alignment horizontal="left"/>
    </xf>
    <xf numFmtId="0" fontId="6" fillId="0" borderId="0" xfId="7" applyFont="1"/>
    <xf numFmtId="0" fontId="4" fillId="0" borderId="0" xfId="7" applyFont="1" applyAlignment="1" applyProtection="1">
      <alignment horizontal="right"/>
    </xf>
    <xf numFmtId="0" fontId="4" fillId="0" borderId="1" xfId="7" applyFont="1" applyBorder="1" applyAlignment="1" applyProtection="1">
      <alignment horizontal="left"/>
    </xf>
    <xf numFmtId="0" fontId="4" fillId="0" borderId="1" xfId="7" applyFont="1" applyBorder="1" applyProtection="1"/>
    <xf numFmtId="1" fontId="4" fillId="0" borderId="1" xfId="7" applyNumberFormat="1" applyFont="1" applyBorder="1" applyProtection="1"/>
    <xf numFmtId="0" fontId="5" fillId="0" borderId="0" xfId="7" applyFont="1" applyAlignment="1" applyProtection="1">
      <alignment horizontal="center"/>
    </xf>
    <xf numFmtId="0" fontId="5" fillId="0" borderId="1" xfId="7" applyFont="1" applyBorder="1" applyProtection="1"/>
    <xf numFmtId="0" fontId="4" fillId="0" borderId="0" xfId="7" applyFont="1" applyAlignment="1" applyProtection="1">
      <alignment horizontal="centerContinuous"/>
    </xf>
    <xf numFmtId="0" fontId="4" fillId="0" borderId="0" xfId="7" applyFont="1" applyAlignment="1" applyProtection="1">
      <alignment horizontal="left"/>
    </xf>
    <xf numFmtId="0" fontId="5" fillId="0" borderId="0" xfId="7" applyFont="1" applyAlignment="1" applyProtection="1">
      <alignment horizontal="centerContinuous"/>
    </xf>
    <xf numFmtId="5" fontId="4" fillId="0" borderId="1" xfId="7" applyNumberFormat="1" applyFont="1" applyFill="1" applyBorder="1" applyProtection="1"/>
    <xf numFmtId="5" fontId="4" fillId="0" borderId="0" xfId="7" applyNumberFormat="1" applyFont="1" applyFill="1" applyProtection="1"/>
    <xf numFmtId="0" fontId="4" fillId="0" borderId="2" xfId="7" applyFont="1" applyBorder="1" applyProtection="1"/>
    <xf numFmtId="5" fontId="4" fillId="0" borderId="2" xfId="7" applyNumberFormat="1" applyFont="1" applyFill="1" applyBorder="1" applyProtection="1"/>
    <xf numFmtId="166" fontId="4" fillId="2" borderId="1" xfId="7" applyNumberFormat="1" applyFont="1" applyFill="1" applyBorder="1" applyProtection="1">
      <protection locked="0"/>
    </xf>
    <xf numFmtId="5" fontId="4" fillId="0" borderId="3" xfId="7" applyNumberFormat="1" applyFont="1" applyFill="1" applyBorder="1" applyProtection="1"/>
    <xf numFmtId="5" fontId="4" fillId="0" borderId="0" xfId="7" applyNumberFormat="1" applyFont="1" applyFill="1" applyBorder="1" applyProtection="1"/>
    <xf numFmtId="0" fontId="4" fillId="0" borderId="2" xfId="7" applyFont="1" applyFill="1" applyBorder="1" applyProtection="1"/>
    <xf numFmtId="0" fontId="5" fillId="0" borderId="0" xfId="7" applyFont="1" applyBorder="1" applyAlignment="1" applyProtection="1">
      <alignment horizontal="left"/>
    </xf>
    <xf numFmtId="0" fontId="4" fillId="0" borderId="0" xfId="7" applyFont="1" applyBorder="1" applyAlignment="1" applyProtection="1">
      <alignment horizontal="centerContinuous"/>
    </xf>
    <xf numFmtId="166" fontId="4" fillId="0" borderId="0" xfId="7" applyNumberFormat="1" applyFont="1" applyFill="1" applyBorder="1" applyAlignment="1" applyProtection="1">
      <alignment horizontal="right"/>
    </xf>
    <xf numFmtId="0" fontId="4" fillId="0" borderId="0" xfId="7" applyFont="1" applyFill="1" applyBorder="1" applyAlignment="1" applyProtection="1">
      <alignment horizontal="centerContinuous"/>
    </xf>
    <xf numFmtId="0" fontId="5" fillId="0" borderId="0" xfId="7" applyFont="1" applyBorder="1" applyAlignment="1" applyProtection="1">
      <alignment horizontal="centerContinuous"/>
    </xf>
    <xf numFmtId="3" fontId="4" fillId="0" borderId="0" xfId="7" applyNumberFormat="1" applyFont="1" applyProtection="1"/>
    <xf numFmtId="0" fontId="7" fillId="0" borderId="0" xfId="7" applyFont="1" applyProtection="1"/>
    <xf numFmtId="2" fontId="4" fillId="0" borderId="0" xfId="7" applyNumberFormat="1" applyFont="1" applyAlignment="1" applyProtection="1">
      <alignment horizontal="right"/>
    </xf>
    <xf numFmtId="166" fontId="7" fillId="0" borderId="0" xfId="7" applyNumberFormat="1" applyFont="1" applyBorder="1" applyAlignment="1" applyProtection="1">
      <alignment horizontal="right"/>
    </xf>
    <xf numFmtId="16" fontId="4" fillId="0" borderId="0" xfId="7" applyNumberFormat="1" applyFont="1" applyAlignment="1" applyProtection="1">
      <alignment horizontal="right"/>
    </xf>
    <xf numFmtId="166" fontId="4" fillId="0" borderId="1" xfId="7" applyNumberFormat="1" applyFont="1" applyFill="1" applyBorder="1" applyProtection="1"/>
    <xf numFmtId="0" fontId="4" fillId="0" borderId="0" xfId="7" applyFont="1" applyBorder="1" applyProtection="1"/>
    <xf numFmtId="0" fontId="5" fillId="0" borderId="0" xfId="7" applyFont="1" applyProtection="1"/>
    <xf numFmtId="0" fontId="4" fillId="0" borderId="0" xfId="7" applyFont="1" applyBorder="1" applyAlignment="1" applyProtection="1">
      <alignment horizontal="right"/>
    </xf>
    <xf numFmtId="0" fontId="4" fillId="0" borderId="0" xfId="7" applyFont="1"/>
    <xf numFmtId="0" fontId="4" fillId="0" borderId="1" xfId="7" applyFont="1" applyBorder="1" applyAlignment="1" applyProtection="1">
      <alignment horizontal="right"/>
    </xf>
    <xf numFmtId="0" fontId="5" fillId="0" borderId="1" xfId="7" applyFont="1" applyBorder="1" applyAlignment="1" applyProtection="1">
      <alignment horizontal="centerContinuous"/>
    </xf>
    <xf numFmtId="0" fontId="4" fillId="0" borderId="0" xfId="7" applyFont="1" applyFill="1" applyProtection="1"/>
    <xf numFmtId="0" fontId="5" fillId="0" borderId="2" xfId="7" applyFont="1" applyBorder="1" applyProtection="1"/>
    <xf numFmtId="166" fontId="4" fillId="0" borderId="2" xfId="7" applyNumberFormat="1" applyFont="1" applyFill="1" applyBorder="1" applyAlignment="1" applyProtection="1">
      <alignment horizontal="right"/>
    </xf>
    <xf numFmtId="0" fontId="4" fillId="0" borderId="0" xfId="7" applyFont="1" applyBorder="1" applyAlignment="1" applyProtection="1">
      <alignment horizontal="left"/>
    </xf>
    <xf numFmtId="167" fontId="4" fillId="0" borderId="0" xfId="7" applyNumberFormat="1" applyFont="1" applyProtection="1"/>
    <xf numFmtId="170" fontId="4" fillId="0" borderId="0" xfId="7" applyNumberFormat="1" applyFont="1" applyProtection="1"/>
    <xf numFmtId="5" fontId="4" fillId="0" borderId="0" xfId="7" applyNumberFormat="1" applyFont="1" applyProtection="1"/>
    <xf numFmtId="165" fontId="4" fillId="0" borderId="0" xfId="7" applyNumberFormat="1" applyFont="1" applyProtection="1"/>
    <xf numFmtId="168" fontId="4" fillId="2" borderId="1" xfId="7" applyNumberFormat="1" applyFont="1" applyFill="1" applyBorder="1" applyProtection="1">
      <protection locked="0"/>
    </xf>
    <xf numFmtId="166" fontId="4" fillId="0" borderId="0" xfId="7" applyNumberFormat="1" applyFont="1" applyBorder="1" applyProtection="1"/>
    <xf numFmtId="0" fontId="5" fillId="0" borderId="0" xfId="7" applyFont="1" applyBorder="1" applyProtection="1"/>
    <xf numFmtId="166" fontId="4" fillId="0" borderId="0" xfId="7" applyNumberFormat="1" applyFont="1" applyFill="1" applyAlignment="1" applyProtection="1">
      <alignment horizontal="right"/>
    </xf>
    <xf numFmtId="5" fontId="4" fillId="2" borderId="1" xfId="7" applyNumberFormat="1" applyFont="1" applyFill="1" applyBorder="1" applyProtection="1">
      <protection locked="0"/>
    </xf>
    <xf numFmtId="5" fontId="4" fillId="0" borderId="2" xfId="7" applyNumberFormat="1" applyFont="1" applyBorder="1" applyProtection="1"/>
    <xf numFmtId="5" fontId="4" fillId="2" borderId="3" xfId="7" applyNumberFormat="1" applyFont="1" applyFill="1" applyBorder="1" applyProtection="1">
      <protection locked="0"/>
    </xf>
    <xf numFmtId="3" fontId="4" fillId="0" borderId="0" xfId="7" applyNumberFormat="1" applyFont="1" applyBorder="1" applyProtection="1"/>
    <xf numFmtId="5" fontId="4" fillId="0" borderId="0" xfId="7" applyNumberFormat="1" applyFont="1" applyBorder="1" applyProtection="1"/>
    <xf numFmtId="0" fontId="4" fillId="2" borderId="1" xfId="7" applyFont="1" applyFill="1" applyBorder="1" applyProtection="1">
      <protection locked="0"/>
    </xf>
    <xf numFmtId="5" fontId="8" fillId="2" borderId="3" xfId="7" applyNumberFormat="1" applyFont="1" applyFill="1" applyBorder="1" applyProtection="1">
      <protection locked="0"/>
    </xf>
    <xf numFmtId="1" fontId="4" fillId="0" borderId="0" xfId="7" applyNumberFormat="1" applyFont="1" applyBorder="1" applyProtection="1"/>
    <xf numFmtId="16" fontId="4" fillId="0" borderId="0" xfId="7" applyNumberFormat="1" applyFont="1" applyBorder="1" applyAlignment="1" applyProtection="1">
      <alignment horizontal="right"/>
    </xf>
    <xf numFmtId="3" fontId="4" fillId="0" borderId="0" xfId="7" applyNumberFormat="1" applyFont="1" applyAlignment="1" applyProtection="1">
      <alignment horizontal="right"/>
    </xf>
    <xf numFmtId="2" fontId="4" fillId="0" borderId="0" xfId="7" applyNumberFormat="1" applyFont="1" applyBorder="1" applyProtection="1"/>
    <xf numFmtId="0" fontId="5" fillId="0" borderId="0" xfId="7" applyFont="1" applyBorder="1" applyAlignment="1" applyProtection="1">
      <alignment horizontal="right"/>
    </xf>
    <xf numFmtId="0" fontId="1" fillId="0" borderId="0" xfId="8" applyFont="1" applyProtection="1"/>
    <xf numFmtId="0" fontId="6" fillId="0" borderId="0" xfId="8" applyFont="1" applyProtection="1"/>
    <xf numFmtId="172" fontId="1" fillId="0" borderId="0" xfId="8" applyNumberFormat="1" applyFont="1" applyAlignment="1" applyProtection="1">
      <alignment horizontal="left"/>
    </xf>
    <xf numFmtId="0" fontId="10" fillId="0" borderId="0" xfId="8" applyFont="1" applyAlignment="1" applyProtection="1">
      <alignment horizontal="centerContinuous"/>
    </xf>
    <xf numFmtId="0" fontId="1" fillId="0" borderId="0" xfId="8" applyFont="1" applyAlignment="1" applyProtection="1">
      <alignment horizontal="centerContinuous"/>
    </xf>
    <xf numFmtId="0" fontId="10" fillId="0" borderId="0" xfId="8" applyFont="1" applyAlignment="1" applyProtection="1">
      <alignment horizontal="right"/>
    </xf>
    <xf numFmtId="1" fontId="1" fillId="0" borderId="1" xfId="8" applyNumberFormat="1" applyFont="1" applyFill="1" applyBorder="1" applyProtection="1"/>
    <xf numFmtId="171" fontId="1" fillId="2" borderId="1" xfId="8" applyNumberFormat="1" applyFont="1" applyFill="1" applyBorder="1" applyProtection="1">
      <protection locked="0"/>
    </xf>
    <xf numFmtId="0" fontId="1" fillId="0" borderId="0" xfId="8" applyFont="1" applyBorder="1" applyProtection="1"/>
    <xf numFmtId="171" fontId="1" fillId="0" borderId="1" xfId="8" applyNumberFormat="1" applyFont="1" applyFill="1" applyBorder="1" applyProtection="1"/>
    <xf numFmtId="171" fontId="1" fillId="0" borderId="0" xfId="8" applyNumberFormat="1" applyFont="1" applyProtection="1"/>
    <xf numFmtId="5" fontId="1" fillId="0" borderId="1" xfId="8" applyNumberFormat="1" applyFont="1" applyFill="1" applyBorder="1" applyAlignment="1" applyProtection="1"/>
    <xf numFmtId="3" fontId="1" fillId="0" borderId="0" xfId="8" applyNumberFormat="1" applyFont="1" applyProtection="1"/>
    <xf numFmtId="0" fontId="1" fillId="0" borderId="4" xfId="8" applyFont="1" applyBorder="1" applyProtection="1"/>
    <xf numFmtId="38" fontId="1" fillId="0" borderId="0" xfId="1" applyFont="1" applyProtection="1"/>
    <xf numFmtId="0" fontId="6" fillId="0" borderId="0" xfId="8" applyFont="1" applyBorder="1" applyProtection="1"/>
    <xf numFmtId="5" fontId="1" fillId="2" borderId="1" xfId="8" applyNumberFormat="1" applyFont="1" applyFill="1" applyBorder="1" applyProtection="1">
      <protection locked="0"/>
    </xf>
    <xf numFmtId="5" fontId="1" fillId="0" borderId="0" xfId="8" applyNumberFormat="1" applyFont="1" applyProtection="1"/>
    <xf numFmtId="5" fontId="1" fillId="0" borderId="0" xfId="8" applyNumberFormat="1" applyFont="1" applyFill="1" applyProtection="1"/>
    <xf numFmtId="5" fontId="1" fillId="0" borderId="1" xfId="8" applyNumberFormat="1" applyFont="1" applyFill="1" applyBorder="1" applyProtection="1"/>
    <xf numFmtId="0" fontId="1" fillId="0" borderId="1" xfId="8" applyFont="1" applyBorder="1" applyProtection="1"/>
    <xf numFmtId="5" fontId="1" fillId="0" borderId="3" xfId="8" applyNumberFormat="1" applyFont="1" applyBorder="1" applyProtection="1"/>
    <xf numFmtId="0" fontId="11" fillId="0" borderId="0" xfId="8" applyFont="1" applyProtection="1"/>
    <xf numFmtId="0" fontId="1" fillId="0" borderId="0" xfId="8" applyFont="1"/>
    <xf numFmtId="0" fontId="12" fillId="0" borderId="0" xfId="8" applyFont="1" applyProtection="1"/>
    <xf numFmtId="5" fontId="12" fillId="0" borderId="1" xfId="8" applyNumberFormat="1" applyFont="1" applyFill="1" applyBorder="1" applyProtection="1"/>
    <xf numFmtId="0" fontId="13" fillId="0" borderId="0" xfId="8" applyFont="1" applyProtection="1"/>
    <xf numFmtId="0" fontId="1" fillId="0" borderId="0" xfId="9" applyFont="1" applyFill="1"/>
    <xf numFmtId="0" fontId="1" fillId="0" borderId="0" xfId="9" applyFont="1" applyFill="1" applyAlignment="1">
      <alignment horizontal="right"/>
    </xf>
    <xf numFmtId="174" fontId="1" fillId="0" borderId="0" xfId="9" applyNumberFormat="1" applyFont="1" applyFill="1" applyAlignment="1">
      <alignment horizontal="left"/>
    </xf>
    <xf numFmtId="0" fontId="15" fillId="0" borderId="0" xfId="9" applyFont="1" applyFill="1" applyAlignment="1">
      <alignment horizontal="centerContinuous"/>
    </xf>
    <xf numFmtId="0" fontId="1" fillId="0" borderId="0" xfId="9" applyFont="1" applyFill="1" applyAlignment="1">
      <alignment horizontal="centerContinuous"/>
    </xf>
    <xf numFmtId="0" fontId="10" fillId="0" borderId="0" xfId="9" applyFont="1" applyFill="1"/>
    <xf numFmtId="5" fontId="1" fillId="0" borderId="1" xfId="9" applyNumberFormat="1" applyFont="1" applyFill="1" applyBorder="1" applyAlignment="1">
      <alignment horizontal="right"/>
    </xf>
    <xf numFmtId="5" fontId="1" fillId="0" borderId="0" xfId="9" applyNumberFormat="1" applyFont="1" applyFill="1" applyAlignment="1"/>
    <xf numFmtId="5" fontId="1" fillId="0" borderId="1" xfId="9" applyNumberFormat="1" applyFont="1" applyFill="1" applyBorder="1" applyAlignment="1"/>
    <xf numFmtId="5" fontId="1" fillId="0" borderId="3" xfId="9" applyNumberFormat="1" applyFont="1" applyFill="1" applyBorder="1" applyAlignment="1"/>
    <xf numFmtId="0" fontId="1" fillId="0" borderId="0" xfId="10" applyFont="1" applyFill="1" applyBorder="1" applyProtection="1"/>
    <xf numFmtId="0" fontId="1" fillId="0" borderId="0" xfId="10" applyFont="1" applyFill="1" applyBorder="1" applyAlignment="1" applyProtection="1">
      <alignment horizontal="right"/>
    </xf>
    <xf numFmtId="0" fontId="1" fillId="0" borderId="0" xfId="10" applyFont="1" applyFill="1"/>
    <xf numFmtId="174" fontId="1" fillId="0" borderId="1" xfId="10" applyNumberFormat="1" applyFont="1" applyFill="1" applyBorder="1" applyAlignment="1" applyProtection="1">
      <alignment horizontal="left"/>
    </xf>
    <xf numFmtId="0" fontId="1" fillId="0" borderId="0" xfId="10" applyFont="1" applyFill="1" applyBorder="1" applyProtection="1">
      <protection locked="0"/>
    </xf>
    <xf numFmtId="0" fontId="10" fillId="0" borderId="0" xfId="10" applyFont="1" applyFill="1" applyBorder="1" applyAlignment="1" applyProtection="1">
      <alignment horizontal="centerContinuous"/>
    </xf>
    <xf numFmtId="0" fontId="1" fillId="0" borderId="0" xfId="10" applyFont="1" applyFill="1" applyBorder="1" applyAlignment="1" applyProtection="1">
      <alignment horizontal="centerContinuous"/>
    </xf>
    <xf numFmtId="0" fontId="10" fillId="0" borderId="0" xfId="10" applyFont="1" applyFill="1" applyBorder="1" applyAlignment="1" applyProtection="1">
      <alignment horizontal="left"/>
    </xf>
    <xf numFmtId="0" fontId="1" fillId="0" borderId="0" xfId="10" applyFont="1" applyFill="1" applyBorder="1" applyAlignment="1" applyProtection="1">
      <alignment horizontal="left"/>
    </xf>
    <xf numFmtId="0" fontId="10" fillId="0" borderId="0" xfId="10" applyFont="1" applyFill="1" applyBorder="1" applyProtection="1"/>
    <xf numFmtId="38" fontId="1" fillId="0" borderId="0" xfId="2" applyFont="1" applyFill="1" applyBorder="1" applyProtection="1"/>
    <xf numFmtId="0" fontId="6" fillId="0" borderId="0" xfId="10" applyFont="1" applyFill="1" applyBorder="1" applyProtection="1"/>
    <xf numFmtId="171" fontId="1" fillId="0" borderId="1" xfId="10" applyNumberFormat="1" applyFont="1" applyFill="1" applyBorder="1" applyAlignment="1" applyProtection="1">
      <alignment horizontal="right"/>
    </xf>
    <xf numFmtId="171" fontId="1" fillId="0" borderId="0" xfId="10" applyNumberFormat="1" applyFont="1" applyFill="1" applyBorder="1" applyAlignment="1" applyProtection="1">
      <alignment horizontal="right"/>
    </xf>
    <xf numFmtId="171" fontId="1" fillId="0" borderId="1" xfId="10" applyNumberFormat="1" applyFont="1" applyFill="1" applyBorder="1" applyProtection="1"/>
    <xf numFmtId="177" fontId="1" fillId="0" borderId="1" xfId="10" applyNumberFormat="1" applyFont="1" applyFill="1" applyBorder="1" applyAlignment="1" applyProtection="1">
      <alignment horizontal="center"/>
    </xf>
    <xf numFmtId="0" fontId="1" fillId="0" borderId="0" xfId="10" applyFont="1" applyFill="1" applyBorder="1" applyAlignment="1" applyProtection="1">
      <alignment horizontal="center"/>
    </xf>
    <xf numFmtId="168" fontId="1" fillId="0" borderId="1" xfId="10" applyNumberFormat="1" applyFont="1" applyFill="1" applyBorder="1" applyProtection="1"/>
    <xf numFmtId="184" fontId="1" fillId="0" borderId="1" xfId="10" applyNumberFormat="1" applyFont="1" applyFill="1" applyBorder="1" applyAlignment="1" applyProtection="1">
      <alignment horizontal="right"/>
    </xf>
    <xf numFmtId="176" fontId="1" fillId="0" borderId="0" xfId="10" applyNumberFormat="1" applyFont="1" applyFill="1" applyBorder="1" applyAlignment="1" applyProtection="1">
      <alignment horizontal="right"/>
    </xf>
    <xf numFmtId="176" fontId="1" fillId="0" borderId="1" xfId="10" applyNumberFormat="1" applyFont="1" applyFill="1" applyBorder="1" applyAlignment="1" applyProtection="1">
      <alignment horizontal="right"/>
    </xf>
    <xf numFmtId="5" fontId="1" fillId="0" borderId="0" xfId="10" applyNumberFormat="1" applyFont="1" applyFill="1" applyBorder="1" applyProtection="1"/>
    <xf numFmtId="37" fontId="1" fillId="0" borderId="0" xfId="10" applyNumberFormat="1" applyFont="1" applyFill="1" applyBorder="1" applyProtection="1">
      <protection locked="0"/>
    </xf>
    <xf numFmtId="184" fontId="1" fillId="0" borderId="0" xfId="10" applyNumberFormat="1" applyFont="1" applyFill="1" applyBorder="1" applyAlignment="1" applyProtection="1">
      <alignment horizontal="right"/>
    </xf>
    <xf numFmtId="5" fontId="1" fillId="0" borderId="0" xfId="10" applyNumberFormat="1" applyFont="1" applyFill="1" applyBorder="1" applyAlignment="1" applyProtection="1">
      <alignment horizontal="right"/>
    </xf>
    <xf numFmtId="0" fontId="16" fillId="0" borderId="0" xfId="10" applyFont="1" applyFill="1" applyBorder="1" applyProtection="1"/>
    <xf numFmtId="173" fontId="1" fillId="0" borderId="0" xfId="10" applyNumberFormat="1" applyFont="1" applyFill="1" applyBorder="1" applyProtection="1"/>
    <xf numFmtId="3" fontId="1" fillId="0" borderId="0" xfId="10" applyNumberFormat="1" applyFont="1" applyFill="1" applyBorder="1" applyProtection="1"/>
    <xf numFmtId="0" fontId="1" fillId="0" borderId="0" xfId="10" applyFont="1" applyFill="1" applyProtection="1"/>
    <xf numFmtId="176" fontId="6" fillId="0" borderId="0" xfId="10" applyNumberFormat="1" applyFont="1" applyFill="1" applyBorder="1" applyProtection="1"/>
    <xf numFmtId="171" fontId="1" fillId="0" borderId="1" xfId="10" applyNumberFormat="1" applyFont="1" applyFill="1" applyBorder="1" applyAlignment="1" applyProtection="1">
      <alignment horizontal="center"/>
    </xf>
    <xf numFmtId="0" fontId="12" fillId="0" borderId="0" xfId="10" applyFont="1" applyFill="1" applyBorder="1" applyProtection="1"/>
    <xf numFmtId="171" fontId="1" fillId="0" borderId="0" xfId="10" applyNumberFormat="1" applyFont="1" applyFill="1" applyBorder="1" applyProtection="1"/>
    <xf numFmtId="2" fontId="6" fillId="0" borderId="0" xfId="10" applyNumberFormat="1" applyFont="1" applyFill="1" applyBorder="1" applyProtection="1"/>
    <xf numFmtId="2" fontId="6" fillId="0" borderId="0" xfId="10" applyNumberFormat="1" applyFont="1" applyFill="1" applyBorder="1" applyAlignment="1" applyProtection="1">
      <alignment horizontal="right"/>
    </xf>
    <xf numFmtId="0" fontId="1" fillId="0" borderId="5" xfId="10" applyFont="1" applyFill="1" applyBorder="1" applyProtection="1"/>
    <xf numFmtId="0" fontId="1" fillId="0" borderId="2" xfId="10" applyFont="1" applyFill="1" applyBorder="1" applyProtection="1"/>
    <xf numFmtId="0" fontId="1" fillId="0" borderId="0" xfId="10" applyFont="1" applyFill="1" applyBorder="1"/>
    <xf numFmtId="176" fontId="1" fillId="0" borderId="1" xfId="10" applyNumberFormat="1" applyFont="1" applyFill="1" applyBorder="1" applyProtection="1"/>
    <xf numFmtId="4" fontId="1" fillId="0" borderId="1" xfId="10" applyNumberFormat="1" applyFont="1" applyFill="1" applyBorder="1" applyAlignment="1" applyProtection="1">
      <alignment horizontal="right"/>
    </xf>
    <xf numFmtId="0" fontId="18" fillId="0" borderId="0" xfId="10" applyFont="1" applyFill="1" applyBorder="1" applyProtection="1"/>
    <xf numFmtId="2" fontId="1" fillId="0" borderId="0" xfId="10" applyNumberFormat="1" applyFont="1" applyFill="1" applyBorder="1" applyProtection="1"/>
    <xf numFmtId="168" fontId="1" fillId="0" borderId="0" xfId="10" applyNumberFormat="1" applyFont="1" applyFill="1" applyBorder="1" applyProtection="1"/>
    <xf numFmtId="1" fontId="1" fillId="0" borderId="0" xfId="10" applyNumberFormat="1" applyFont="1" applyFill="1" applyBorder="1" applyProtection="1"/>
    <xf numFmtId="183" fontId="1" fillId="0" borderId="0" xfId="10" applyNumberFormat="1" applyFont="1" applyFill="1" applyBorder="1" applyProtection="1"/>
    <xf numFmtId="183" fontId="6" fillId="0" borderId="0" xfId="10" applyNumberFormat="1" applyFont="1" applyFill="1" applyBorder="1" applyProtection="1"/>
    <xf numFmtId="0" fontId="19" fillId="0" borderId="0" xfId="10" applyFont="1" applyFill="1" applyAlignment="1">
      <alignment horizontal="center"/>
    </xf>
    <xf numFmtId="0" fontId="19" fillId="0" borderId="0" xfId="10" applyFont="1" applyFill="1" applyAlignment="1">
      <alignment horizontal="right"/>
    </xf>
    <xf numFmtId="0" fontId="1" fillId="0" borderId="0" xfId="10" applyFont="1" applyFill="1" applyAlignment="1">
      <alignment horizontal="center"/>
    </xf>
    <xf numFmtId="171" fontId="1" fillId="0" borderId="0" xfId="10" applyNumberFormat="1" applyFont="1" applyFill="1"/>
    <xf numFmtId="177" fontId="6" fillId="0" borderId="0" xfId="10" applyNumberFormat="1" applyFont="1" applyFill="1" applyBorder="1" applyAlignment="1" applyProtection="1">
      <alignment horizontal="center"/>
    </xf>
    <xf numFmtId="171" fontId="1" fillId="0" borderId="1" xfId="10" applyNumberFormat="1" applyFont="1" applyFill="1" applyBorder="1"/>
    <xf numFmtId="180" fontId="1" fillId="0" borderId="0" xfId="10" applyNumberFormat="1" applyFont="1" applyFill="1" applyBorder="1" applyProtection="1"/>
    <xf numFmtId="184" fontId="1" fillId="0" borderId="0" xfId="10" applyNumberFormat="1" applyFont="1" applyFill="1" applyBorder="1" applyAlignment="1" applyProtection="1">
      <alignment horizontal="center"/>
    </xf>
    <xf numFmtId="0" fontId="1" fillId="0" borderId="1" xfId="10" applyFont="1" applyFill="1" applyBorder="1" applyProtection="1"/>
    <xf numFmtId="0" fontId="1" fillId="0" borderId="0" xfId="10" quotePrefix="1" applyFont="1" applyFill="1" applyBorder="1" applyAlignment="1" applyProtection="1">
      <alignment horizontal="right"/>
    </xf>
    <xf numFmtId="2" fontId="1" fillId="0" borderId="0" xfId="10" applyNumberFormat="1" applyFont="1" applyFill="1"/>
    <xf numFmtId="168" fontId="1" fillId="0" borderId="0" xfId="10" applyNumberFormat="1" applyFont="1" applyFill="1"/>
    <xf numFmtId="0" fontId="1" fillId="0" borderId="0" xfId="11" applyFont="1" applyFill="1"/>
    <xf numFmtId="0" fontId="1" fillId="0" borderId="0" xfId="11" applyFont="1" applyFill="1" applyAlignment="1">
      <alignment horizontal="right"/>
    </xf>
    <xf numFmtId="0" fontId="1" fillId="0" borderId="1" xfId="11" applyFont="1" applyFill="1" applyBorder="1" applyAlignment="1">
      <alignment horizontal="right"/>
    </xf>
    <xf numFmtId="0" fontId="1" fillId="0" borderId="1" xfId="11" applyFont="1" applyFill="1" applyBorder="1" applyAlignment="1">
      <alignment horizontal="left"/>
    </xf>
    <xf numFmtId="0" fontId="10" fillId="0" borderId="0" xfId="11" applyFont="1" applyFill="1" applyAlignment="1">
      <alignment horizontal="centerContinuous"/>
    </xf>
    <xf numFmtId="0" fontId="1" fillId="0" borderId="0" xfId="11" applyFont="1" applyFill="1" applyAlignment="1">
      <alignment horizontal="centerContinuous"/>
    </xf>
    <xf numFmtId="0" fontId="1" fillId="0" borderId="0" xfId="12" applyFont="1" applyProtection="1"/>
    <xf numFmtId="190" fontId="1" fillId="0" borderId="0" xfId="12" applyNumberFormat="1" applyFont="1" applyProtection="1"/>
    <xf numFmtId="0" fontId="1" fillId="0" borderId="0" xfId="12" applyFont="1" applyAlignment="1">
      <alignment horizontal="centerContinuous"/>
    </xf>
    <xf numFmtId="0" fontId="10" fillId="0" borderId="0" xfId="12" applyFont="1" applyAlignment="1" applyProtection="1"/>
    <xf numFmtId="0" fontId="1" fillId="0" borderId="0" xfId="12" applyFont="1" applyAlignment="1" applyProtection="1"/>
    <xf numFmtId="0" fontId="10" fillId="0" borderId="0" xfId="12" applyFont="1" applyAlignment="1" applyProtection="1">
      <alignment horizontal="right"/>
    </xf>
    <xf numFmtId="174" fontId="10" fillId="0" borderId="1" xfId="12" applyNumberFormat="1" applyFont="1" applyFill="1" applyBorder="1" applyAlignment="1" applyProtection="1">
      <alignment horizontal="left"/>
    </xf>
    <xf numFmtId="0" fontId="6" fillId="0" borderId="0" xfId="12" applyFont="1" applyProtection="1"/>
    <xf numFmtId="0" fontId="1" fillId="0" borderId="0" xfId="12" applyFont="1" applyAlignment="1" applyProtection="1">
      <alignment horizontal="left"/>
    </xf>
    <xf numFmtId="0" fontId="1" fillId="0" borderId="0" xfId="12" applyFont="1"/>
    <xf numFmtId="0" fontId="1" fillId="0" borderId="0" xfId="12" applyFont="1" applyAlignment="1"/>
    <xf numFmtId="0" fontId="10" fillId="0" borderId="0" xfId="12" applyFont="1" applyAlignment="1">
      <alignment horizontal="centerContinuous"/>
    </xf>
    <xf numFmtId="0" fontId="1" fillId="0" borderId="0" xfId="12" applyFont="1" applyAlignment="1" applyProtection="1">
      <alignment horizontal="centerContinuous"/>
    </xf>
    <xf numFmtId="0" fontId="10" fillId="0" borderId="0" xfId="12" applyFont="1" applyAlignment="1" applyProtection="1">
      <alignment horizontal="centerContinuous"/>
    </xf>
    <xf numFmtId="190" fontId="10" fillId="0" borderId="0" xfId="12" applyNumberFormat="1" applyFont="1" applyAlignment="1" applyProtection="1">
      <alignment horizontal="centerContinuous"/>
    </xf>
    <xf numFmtId="0" fontId="1" fillId="0" borderId="6" xfId="12" applyFont="1" applyBorder="1" applyProtection="1"/>
    <xf numFmtId="0" fontId="1" fillId="0" borderId="7" xfId="12" applyFont="1" applyBorder="1" applyProtection="1"/>
    <xf numFmtId="0" fontId="1" fillId="0" borderId="8" xfId="12" applyFont="1" applyBorder="1" applyProtection="1"/>
    <xf numFmtId="0" fontId="1" fillId="0" borderId="9" xfId="12" applyFont="1" applyBorder="1" applyAlignment="1" applyProtection="1">
      <alignment horizontal="center"/>
    </xf>
    <xf numFmtId="0" fontId="1" fillId="0" borderId="10" xfId="12" applyFont="1" applyBorder="1" applyProtection="1"/>
    <xf numFmtId="0" fontId="1" fillId="0" borderId="11" xfId="12" applyFont="1" applyBorder="1" applyProtection="1"/>
    <xf numFmtId="0" fontId="1" fillId="0" borderId="10" xfId="12" applyFont="1" applyBorder="1" applyAlignment="1" applyProtection="1">
      <alignment horizontal="centerContinuous"/>
    </xf>
    <xf numFmtId="0" fontId="1" fillId="0" borderId="11" xfId="12" applyFont="1" applyBorder="1" applyAlignment="1" applyProtection="1">
      <alignment horizontal="centerContinuous"/>
    </xf>
    <xf numFmtId="0" fontId="1" fillId="0" borderId="9" xfId="12" applyFont="1" applyBorder="1" applyAlignment="1" applyProtection="1">
      <alignment horizontal="centerContinuous"/>
    </xf>
    <xf numFmtId="0" fontId="1" fillId="0" borderId="1" xfId="12" applyFont="1" applyBorder="1" applyProtection="1"/>
    <xf numFmtId="190" fontId="1" fillId="0" borderId="1" xfId="12" applyNumberFormat="1" applyFont="1" applyBorder="1" applyProtection="1"/>
    <xf numFmtId="0" fontId="1" fillId="0" borderId="12" xfId="12" applyFont="1" applyBorder="1" applyAlignment="1" applyProtection="1">
      <alignment horizontal="center"/>
    </xf>
    <xf numFmtId="0" fontId="1" fillId="0" borderId="13" xfId="12" applyFont="1" applyBorder="1" applyAlignment="1" applyProtection="1">
      <alignment horizontal="center"/>
    </xf>
    <xf numFmtId="0" fontId="1" fillId="0" borderId="14" xfId="12" applyFont="1" applyBorder="1" applyAlignment="1" applyProtection="1">
      <alignment horizontal="center"/>
    </xf>
    <xf numFmtId="0" fontId="1" fillId="0" borderId="14" xfId="12" applyFont="1" applyBorder="1" applyAlignment="1" applyProtection="1">
      <alignment horizontal="centerContinuous"/>
    </xf>
    <xf numFmtId="0" fontId="1" fillId="0" borderId="12" xfId="12" applyFont="1" applyBorder="1" applyProtection="1"/>
    <xf numFmtId="0" fontId="1" fillId="0" borderId="15" xfId="12" applyFont="1" applyBorder="1" applyProtection="1"/>
    <xf numFmtId="190" fontId="1" fillId="0" borderId="15" xfId="12" applyNumberFormat="1" applyFont="1" applyBorder="1" applyProtection="1"/>
    <xf numFmtId="0" fontId="1" fillId="0" borderId="16" xfId="12" applyFont="1" applyBorder="1" applyProtection="1"/>
    <xf numFmtId="191" fontId="1" fillId="0" borderId="15" xfId="12" applyNumberFormat="1" applyFont="1" applyBorder="1" applyAlignment="1" applyProtection="1">
      <alignment horizontal="center"/>
    </xf>
    <xf numFmtId="0" fontId="1" fillId="0" borderId="17" xfId="12" applyFont="1" applyBorder="1" applyProtection="1"/>
    <xf numFmtId="2" fontId="1" fillId="0" borderId="16" xfId="12" applyNumberFormat="1" applyFont="1" applyBorder="1" applyProtection="1"/>
    <xf numFmtId="7" fontId="1" fillId="0" borderId="16" xfId="12" applyNumberFormat="1" applyFont="1" applyBorder="1" applyProtection="1"/>
    <xf numFmtId="0" fontId="10" fillId="0" borderId="0" xfId="12" applyFont="1" applyProtection="1"/>
    <xf numFmtId="191" fontId="1" fillId="0" borderId="9" xfId="12" applyNumberFormat="1" applyFont="1" applyBorder="1" applyAlignment="1" applyProtection="1">
      <alignment horizontal="center"/>
    </xf>
    <xf numFmtId="191" fontId="1" fillId="0" borderId="0" xfId="12" applyNumberFormat="1" applyFont="1" applyAlignment="1" applyProtection="1">
      <alignment horizontal="center"/>
    </xf>
    <xf numFmtId="2" fontId="1" fillId="0" borderId="9" xfId="12" applyNumberFormat="1" applyFont="1" applyBorder="1" applyProtection="1"/>
    <xf numFmtId="0" fontId="1" fillId="0" borderId="9" xfId="12" applyFont="1" applyBorder="1" applyProtection="1"/>
    <xf numFmtId="7" fontId="1" fillId="0" borderId="9" xfId="12" applyNumberFormat="1" applyFont="1" applyBorder="1" applyProtection="1"/>
    <xf numFmtId="3" fontId="1" fillId="2" borderId="13" xfId="12" applyNumberFormat="1" applyFont="1" applyFill="1" applyBorder="1" applyProtection="1">
      <protection locked="0"/>
    </xf>
    <xf numFmtId="5" fontId="1" fillId="0" borderId="14" xfId="12" applyNumberFormat="1" applyFont="1" applyFill="1" applyBorder="1" applyProtection="1"/>
    <xf numFmtId="5" fontId="1" fillId="0" borderId="12" xfId="12" applyNumberFormat="1" applyFont="1" applyFill="1" applyBorder="1" applyProtection="1"/>
    <xf numFmtId="2" fontId="1" fillId="2" borderId="12" xfId="12" applyNumberFormat="1" applyFont="1" applyFill="1" applyBorder="1" applyProtection="1">
      <protection locked="0"/>
    </xf>
    <xf numFmtId="3" fontId="1" fillId="2" borderId="18" xfId="12" applyNumberFormat="1" applyFont="1" applyFill="1" applyBorder="1" applyProtection="1">
      <protection locked="0"/>
    </xf>
    <xf numFmtId="2" fontId="1" fillId="2" borderId="19" xfId="12" applyNumberFormat="1" applyFont="1" applyFill="1" applyBorder="1" applyProtection="1">
      <protection locked="0"/>
    </xf>
    <xf numFmtId="2" fontId="1" fillId="2" borderId="6" xfId="12" applyNumberFormat="1" applyFont="1" applyFill="1" applyBorder="1" applyProtection="1">
      <protection locked="0"/>
    </xf>
    <xf numFmtId="5" fontId="1" fillId="0" borderId="9" xfId="12" applyNumberFormat="1" applyFont="1" applyFill="1" applyBorder="1" applyProtection="1"/>
    <xf numFmtId="5" fontId="1" fillId="0" borderId="13" xfId="12" applyNumberFormat="1" applyFont="1" applyFill="1" applyBorder="1" applyProtection="1"/>
    <xf numFmtId="2" fontId="1" fillId="3" borderId="6" xfId="12" applyNumberFormat="1" applyFont="1" applyFill="1" applyBorder="1" applyProtection="1"/>
    <xf numFmtId="5" fontId="1" fillId="3" borderId="8" xfId="12" applyNumberFormat="1" applyFont="1" applyFill="1" applyBorder="1" applyProtection="1"/>
    <xf numFmtId="5" fontId="1" fillId="0" borderId="11" xfId="12" applyNumberFormat="1" applyFont="1" applyFill="1" applyBorder="1" applyProtection="1"/>
    <xf numFmtId="5" fontId="1" fillId="0" borderId="10" xfId="12" applyNumberFormat="1" applyFont="1" applyFill="1" applyBorder="1" applyProtection="1"/>
    <xf numFmtId="191" fontId="1" fillId="3" borderId="9" xfId="12" applyNumberFormat="1" applyFont="1" applyFill="1" applyBorder="1" applyAlignment="1" applyProtection="1">
      <alignment horizontal="center"/>
    </xf>
    <xf numFmtId="0" fontId="1" fillId="3" borderId="0" xfId="12" applyFont="1" applyFill="1" applyProtection="1"/>
    <xf numFmtId="5" fontId="1" fillId="3" borderId="7" xfId="12" applyNumberFormat="1" applyFont="1" applyFill="1" applyBorder="1" applyProtection="1"/>
    <xf numFmtId="190" fontId="10" fillId="0" borderId="0" xfId="12" applyNumberFormat="1" applyFont="1" applyAlignment="1" applyProtection="1">
      <alignment horizontal="right"/>
    </xf>
    <xf numFmtId="3" fontId="1" fillId="0" borderId="7" xfId="12" applyNumberFormat="1" applyFont="1" applyFill="1" applyBorder="1" applyProtection="1"/>
    <xf numFmtId="0" fontId="1" fillId="3" borderId="0" xfId="12" applyFont="1" applyFill="1" applyBorder="1" applyProtection="1"/>
    <xf numFmtId="2" fontId="1" fillId="4" borderId="11" xfId="12" applyNumberFormat="1" applyFont="1" applyFill="1" applyBorder="1" applyProtection="1"/>
    <xf numFmtId="5" fontId="1" fillId="0" borderId="8" xfId="12" applyNumberFormat="1" applyFont="1" applyFill="1" applyBorder="1" applyProtection="1"/>
    <xf numFmtId="3" fontId="1" fillId="4" borderId="7" xfId="12" applyNumberFormat="1" applyFont="1" applyFill="1" applyBorder="1" applyProtection="1"/>
    <xf numFmtId="191" fontId="1" fillId="4" borderId="9" xfId="12" applyNumberFormat="1" applyFont="1" applyFill="1" applyBorder="1" applyAlignment="1" applyProtection="1">
      <alignment horizontal="center"/>
    </xf>
    <xf numFmtId="5" fontId="1" fillId="4" borderId="11" xfId="12" applyNumberFormat="1" applyFont="1" applyFill="1" applyBorder="1" applyProtection="1"/>
    <xf numFmtId="5" fontId="1" fillId="4" borderId="0" xfId="12" applyNumberFormat="1" applyFont="1" applyFill="1" applyProtection="1"/>
    <xf numFmtId="2" fontId="1" fillId="4" borderId="10" xfId="12" applyNumberFormat="1" applyFont="1" applyFill="1" applyBorder="1" applyProtection="1"/>
    <xf numFmtId="5" fontId="1" fillId="4" borderId="7" xfId="12" applyNumberFormat="1" applyFont="1" applyFill="1" applyBorder="1" applyProtection="1"/>
    <xf numFmtId="5" fontId="1" fillId="4" borderId="6" xfId="12" applyNumberFormat="1" applyFont="1" applyFill="1" applyBorder="1" applyProtection="1"/>
    <xf numFmtId="3" fontId="1" fillId="4" borderId="10" xfId="12" applyNumberFormat="1" applyFont="1" applyFill="1" applyBorder="1" applyProtection="1"/>
    <xf numFmtId="5" fontId="1" fillId="3" borderId="0" xfId="12" applyNumberFormat="1" applyFont="1" applyFill="1" applyProtection="1"/>
    <xf numFmtId="5" fontId="1" fillId="4" borderId="10" xfId="12" applyNumberFormat="1" applyFont="1" applyFill="1" applyBorder="1" applyProtection="1"/>
    <xf numFmtId="5" fontId="1" fillId="4" borderId="9" xfId="12" applyNumberFormat="1" applyFont="1" applyFill="1" applyBorder="1" applyProtection="1"/>
    <xf numFmtId="2" fontId="1" fillId="2" borderId="13" xfId="12" applyNumberFormat="1" applyFont="1" applyFill="1" applyBorder="1" applyProtection="1">
      <protection locked="0"/>
    </xf>
    <xf numFmtId="5" fontId="1" fillId="0" borderId="20" xfId="12" applyNumberFormat="1" applyFont="1" applyFill="1" applyBorder="1" applyProtection="1"/>
    <xf numFmtId="5" fontId="1" fillId="0" borderId="6" xfId="12" applyNumberFormat="1" applyFont="1" applyFill="1" applyBorder="1" applyProtection="1"/>
    <xf numFmtId="0" fontId="1" fillId="3" borderId="9" xfId="12" applyFont="1" applyFill="1" applyBorder="1" applyAlignment="1" applyProtection="1">
      <alignment horizontal="center"/>
    </xf>
    <xf numFmtId="5" fontId="1" fillId="3" borderId="20" xfId="12" applyNumberFormat="1" applyFont="1" applyFill="1" applyBorder="1" applyProtection="1"/>
    <xf numFmtId="190" fontId="10" fillId="0" borderId="0" xfId="12" applyNumberFormat="1" applyFont="1" applyProtection="1"/>
    <xf numFmtId="2" fontId="1" fillId="4" borderId="9" xfId="12" applyNumberFormat="1" applyFont="1" applyFill="1" applyBorder="1" applyProtection="1"/>
    <xf numFmtId="5" fontId="1" fillId="4" borderId="8" xfId="12" applyNumberFormat="1" applyFont="1" applyFill="1" applyBorder="1" applyProtection="1"/>
    <xf numFmtId="0" fontId="1" fillId="4" borderId="9" xfId="12" applyFont="1" applyFill="1" applyBorder="1" applyAlignment="1" applyProtection="1">
      <alignment horizontal="center"/>
    </xf>
    <xf numFmtId="5" fontId="1" fillId="4" borderId="4" xfId="12" applyNumberFormat="1" applyFont="1" applyFill="1" applyBorder="1" applyProtection="1"/>
    <xf numFmtId="5" fontId="1" fillId="4" borderId="0" xfId="12" applyNumberFormat="1" applyFont="1" applyFill="1" applyBorder="1" applyProtection="1"/>
    <xf numFmtId="0" fontId="1" fillId="4" borderId="0" xfId="12" applyFont="1" applyFill="1" applyProtection="1"/>
    <xf numFmtId="5" fontId="1" fillId="0" borderId="0" xfId="12" applyNumberFormat="1" applyFont="1" applyFill="1" applyBorder="1" applyProtection="1"/>
    <xf numFmtId="191" fontId="1" fillId="2" borderId="12" xfId="12" applyNumberFormat="1" applyFont="1" applyFill="1" applyBorder="1" applyAlignment="1" applyProtection="1">
      <alignment horizontal="center"/>
      <protection locked="0"/>
    </xf>
    <xf numFmtId="2" fontId="1" fillId="3" borderId="10" xfId="12" applyNumberFormat="1" applyFont="1" applyFill="1" applyBorder="1" applyProtection="1"/>
    <xf numFmtId="5" fontId="1" fillId="3" borderId="6" xfId="12" applyNumberFormat="1" applyFont="1" applyFill="1" applyBorder="1" applyProtection="1"/>
    <xf numFmtId="3" fontId="1" fillId="0" borderId="18" xfId="12" applyNumberFormat="1" applyFont="1" applyFill="1" applyBorder="1" applyProtection="1"/>
    <xf numFmtId="0" fontId="1" fillId="4" borderId="6" xfId="12" applyFont="1" applyFill="1" applyBorder="1" applyProtection="1"/>
    <xf numFmtId="0" fontId="1" fillId="4" borderId="9" xfId="12" applyFont="1" applyFill="1" applyBorder="1" applyProtection="1"/>
    <xf numFmtId="5" fontId="1" fillId="3" borderId="9" xfId="12" applyNumberFormat="1" applyFont="1" applyFill="1" applyBorder="1" applyProtection="1"/>
    <xf numFmtId="0" fontId="1" fillId="4" borderId="12" xfId="12" applyFont="1" applyFill="1" applyBorder="1" applyProtection="1"/>
    <xf numFmtId="5" fontId="1" fillId="3" borderId="12" xfId="12" applyNumberFormat="1" applyFont="1" applyFill="1" applyBorder="1" applyProtection="1"/>
    <xf numFmtId="2" fontId="1" fillId="3" borderId="12" xfId="12" applyNumberFormat="1" applyFont="1" applyFill="1" applyBorder="1" applyProtection="1"/>
    <xf numFmtId="5" fontId="1" fillId="2" borderId="12" xfId="12" applyNumberFormat="1" applyFont="1" applyFill="1" applyBorder="1" applyProtection="1">
      <protection locked="0"/>
    </xf>
    <xf numFmtId="5" fontId="1" fillId="0" borderId="21" xfId="12" applyNumberFormat="1" applyFont="1" applyFill="1" applyBorder="1" applyProtection="1"/>
    <xf numFmtId="7" fontId="1" fillId="4" borderId="16" xfId="12" applyNumberFormat="1" applyFont="1" applyFill="1" applyBorder="1" applyProtection="1"/>
    <xf numFmtId="7" fontId="1" fillId="4" borderId="15" xfId="12" applyNumberFormat="1" applyFont="1" applyFill="1" applyBorder="1" applyProtection="1"/>
    <xf numFmtId="5" fontId="1" fillId="4" borderId="15" xfId="12" applyNumberFormat="1" applyFont="1" applyFill="1" applyBorder="1" applyProtection="1"/>
    <xf numFmtId="7" fontId="1" fillId="3" borderId="15" xfId="12" applyNumberFormat="1" applyFont="1" applyFill="1" applyBorder="1" applyProtection="1"/>
    <xf numFmtId="7" fontId="1" fillId="4" borderId="9" xfId="12" applyNumberFormat="1" applyFont="1" applyFill="1" applyBorder="1" applyProtection="1"/>
    <xf numFmtId="7" fontId="1" fillId="4" borderId="0" xfId="12" applyNumberFormat="1" applyFont="1" applyFill="1" applyProtection="1"/>
    <xf numFmtId="7" fontId="1" fillId="3" borderId="0" xfId="12" applyNumberFormat="1" applyFont="1" applyFill="1" applyProtection="1"/>
    <xf numFmtId="7" fontId="1" fillId="4" borderId="12" xfId="12" applyNumberFormat="1" applyFont="1" applyFill="1" applyBorder="1" applyProtection="1"/>
    <xf numFmtId="5" fontId="1" fillId="0" borderId="0" xfId="12" applyNumberFormat="1" applyFont="1" applyFill="1" applyProtection="1"/>
    <xf numFmtId="190" fontId="6" fillId="0" borderId="0" xfId="12" applyNumberFormat="1" applyFont="1" applyProtection="1"/>
    <xf numFmtId="0" fontId="1" fillId="0" borderId="0" xfId="13" applyFont="1" applyFill="1" applyProtection="1"/>
    <xf numFmtId="0" fontId="4" fillId="0" borderId="0" xfId="13" applyFont="1" applyFill="1" applyProtection="1">
      <protection locked="0"/>
    </xf>
    <xf numFmtId="0" fontId="10" fillId="0" borderId="0" xfId="13" applyFont="1" applyFill="1" applyAlignment="1" applyProtection="1">
      <alignment horizontal="centerContinuous"/>
    </xf>
    <xf numFmtId="0" fontId="1" fillId="0" borderId="0" xfId="13" applyFont="1" applyFill="1" applyAlignment="1" applyProtection="1">
      <alignment horizontal="centerContinuous"/>
    </xf>
    <xf numFmtId="0" fontId="1" fillId="0" borderId="0" xfId="13" applyFont="1" applyFill="1"/>
    <xf numFmtId="0" fontId="1" fillId="0" borderId="0" xfId="13" applyFont="1" applyFill="1" applyAlignment="1" applyProtection="1">
      <alignment horizontal="right"/>
    </xf>
    <xf numFmtId="174" fontId="1" fillId="0" borderId="1" xfId="13" applyNumberFormat="1" applyFont="1" applyFill="1" applyBorder="1" applyProtection="1"/>
    <xf numFmtId="0" fontId="10" fillId="0" borderId="0" xfId="13" applyFont="1" applyFill="1" applyProtection="1"/>
    <xf numFmtId="0" fontId="1" fillId="0" borderId="0" xfId="13" applyFont="1" applyFill="1" applyAlignment="1" applyProtection="1">
      <alignment horizontal="left"/>
    </xf>
    <xf numFmtId="165" fontId="1" fillId="0" borderId="0" xfId="13" applyNumberFormat="1" applyFont="1" applyFill="1" applyAlignment="1" applyProtection="1">
      <alignment horizontal="center"/>
    </xf>
    <xf numFmtId="0" fontId="1" fillId="0" borderId="0" xfId="13" applyFont="1" applyFill="1" applyAlignment="1" applyProtection="1">
      <alignment horizontal="center"/>
    </xf>
    <xf numFmtId="190" fontId="1" fillId="0" borderId="0" xfId="13" applyNumberFormat="1" applyFont="1" applyFill="1" applyAlignment="1" applyProtection="1">
      <alignment horizontal="left"/>
    </xf>
    <xf numFmtId="5" fontId="1" fillId="0" borderId="1" xfId="13" applyNumberFormat="1" applyFont="1" applyFill="1" applyBorder="1" applyProtection="1"/>
    <xf numFmtId="10" fontId="1" fillId="0" borderId="1" xfId="13" applyNumberFormat="1" applyFont="1" applyFill="1" applyBorder="1" applyProtection="1"/>
    <xf numFmtId="5" fontId="1" fillId="0" borderId="0" xfId="13" applyNumberFormat="1" applyFont="1" applyFill="1" applyBorder="1" applyProtection="1"/>
    <xf numFmtId="0" fontId="1" fillId="0" borderId="0" xfId="13" applyFont="1" applyFill="1" applyBorder="1" applyProtection="1"/>
    <xf numFmtId="0" fontId="4" fillId="0" borderId="0" xfId="13" applyFont="1" applyFill="1" applyProtection="1"/>
    <xf numFmtId="0" fontId="10" fillId="0" borderId="0" xfId="13" applyFont="1" applyFill="1" applyAlignment="1" applyProtection="1">
      <alignment horizontal="left"/>
    </xf>
    <xf numFmtId="0" fontId="10" fillId="0" borderId="0" xfId="13" applyFont="1" applyFill="1" applyAlignment="1" applyProtection="1">
      <alignment horizontal="center"/>
    </xf>
    <xf numFmtId="5" fontId="1" fillId="0" borderId="0" xfId="13" applyNumberFormat="1" applyFont="1" applyFill="1" applyBorder="1" applyProtection="1">
      <protection locked="0"/>
    </xf>
    <xf numFmtId="0" fontId="1" fillId="0" borderId="0" xfId="13" applyFont="1" applyFill="1" applyBorder="1" applyProtection="1">
      <protection locked="0"/>
    </xf>
    <xf numFmtId="0" fontId="1" fillId="0" borderId="0" xfId="14" applyFont="1" applyFill="1" applyProtection="1"/>
    <xf numFmtId="0" fontId="6" fillId="0" borderId="0" xfId="14" applyFont="1" applyFill="1" applyProtection="1">
      <protection locked="0"/>
    </xf>
    <xf numFmtId="0" fontId="1" fillId="0" borderId="0" xfId="14" applyFont="1" applyFill="1" applyAlignment="1" applyProtection="1">
      <alignment horizontal="centerContinuous"/>
    </xf>
    <xf numFmtId="0" fontId="10" fillId="0" borderId="0" xfId="14" applyFont="1" applyFill="1" applyAlignment="1" applyProtection="1">
      <alignment horizontal="centerContinuous"/>
    </xf>
    <xf numFmtId="0" fontId="10" fillId="0" borderId="0" xfId="14" applyFont="1" applyFill="1" applyAlignment="1" applyProtection="1">
      <alignment horizontal="centerContinuous" vertical="top"/>
    </xf>
    <xf numFmtId="0" fontId="10" fillId="0" borderId="0" xfId="14" applyFont="1" applyFill="1" applyProtection="1"/>
    <xf numFmtId="5" fontId="1" fillId="0" borderId="0" xfId="14" applyNumberFormat="1" applyFont="1" applyFill="1" applyAlignment="1" applyProtection="1">
      <alignment horizontal="right"/>
    </xf>
    <xf numFmtId="5" fontId="1" fillId="0" borderId="1" xfId="14" applyNumberFormat="1" applyFont="1" applyFill="1" applyBorder="1" applyAlignment="1" applyProtection="1">
      <alignment horizontal="right"/>
    </xf>
    <xf numFmtId="0" fontId="1" fillId="2" borderId="1" xfId="14" applyFont="1" applyFill="1" applyBorder="1" applyProtection="1">
      <protection locked="0"/>
    </xf>
    <xf numFmtId="0" fontId="6" fillId="0" borderId="0" xfId="14" applyFont="1" applyFill="1" applyProtection="1"/>
    <xf numFmtId="0" fontId="1" fillId="0" borderId="0" xfId="15" applyFont="1" applyFill="1" applyProtection="1"/>
    <xf numFmtId="0" fontId="1" fillId="0" borderId="0" xfId="15" applyFont="1" applyFill="1" applyAlignment="1" applyProtection="1">
      <alignment horizontal="right"/>
    </xf>
    <xf numFmtId="174" fontId="19" fillId="0" borderId="0" xfId="15" applyNumberFormat="1" applyFont="1" applyFill="1" applyBorder="1" applyAlignment="1" applyProtection="1">
      <alignment horizontal="left"/>
    </xf>
    <xf numFmtId="0" fontId="6" fillId="0" borderId="0" xfId="15" applyFont="1" applyFill="1" applyProtection="1"/>
    <xf numFmtId="0" fontId="6" fillId="0" borderId="0" xfId="15" applyFont="1" applyFill="1" applyProtection="1">
      <protection locked="0"/>
    </xf>
    <xf numFmtId="172" fontId="1" fillId="0" borderId="0" xfId="15" applyNumberFormat="1" applyFont="1" applyFill="1" applyAlignment="1" applyProtection="1">
      <alignment horizontal="left"/>
    </xf>
    <xf numFmtId="0" fontId="10" fillId="0" borderId="0" xfId="15" applyFont="1" applyFill="1" applyAlignment="1" applyProtection="1">
      <alignment horizontal="centerContinuous"/>
    </xf>
    <xf numFmtId="0" fontId="1" fillId="0" borderId="0" xfId="15" applyFont="1" applyFill="1" applyAlignment="1" applyProtection="1">
      <alignment horizontal="centerContinuous"/>
    </xf>
    <xf numFmtId="0" fontId="1" fillId="0" borderId="0" xfId="15" applyFont="1" applyFill="1"/>
    <xf numFmtId="5" fontId="1" fillId="0" borderId="1" xfId="15" applyNumberFormat="1" applyFont="1" applyFill="1" applyBorder="1" applyAlignment="1" applyProtection="1">
      <alignment horizontal="right"/>
    </xf>
    <xf numFmtId="5" fontId="1" fillId="0" borderId="0" xfId="15" applyNumberFormat="1" applyFont="1" applyFill="1" applyAlignment="1" applyProtection="1">
      <alignment horizontal="right"/>
    </xf>
    <xf numFmtId="5" fontId="1" fillId="0" borderId="1" xfId="15" applyNumberFormat="1" applyFont="1" applyFill="1" applyBorder="1" applyProtection="1"/>
    <xf numFmtId="168" fontId="1" fillId="0" borderId="1" xfId="15" applyNumberFormat="1" applyFont="1" applyFill="1" applyBorder="1" applyProtection="1"/>
    <xf numFmtId="0" fontId="1" fillId="0" borderId="0" xfId="15" applyFont="1" applyFill="1" applyBorder="1" applyProtection="1"/>
    <xf numFmtId="5" fontId="1" fillId="0" borderId="0" xfId="15" applyNumberFormat="1" applyFont="1" applyFill="1" applyBorder="1" applyAlignment="1" applyProtection="1">
      <alignment horizontal="right"/>
    </xf>
    <xf numFmtId="0" fontId="10" fillId="0" borderId="0" xfId="15" applyFont="1" applyFill="1" applyProtection="1"/>
    <xf numFmtId="5" fontId="1" fillId="2" borderId="1" xfId="15" applyNumberFormat="1" applyFont="1" applyFill="1" applyBorder="1" applyAlignment="1" applyProtection="1">
      <alignment horizontal="right"/>
      <protection locked="0"/>
    </xf>
    <xf numFmtId="0" fontId="1" fillId="0" borderId="2" xfId="15" applyFont="1" applyFill="1" applyBorder="1" applyProtection="1"/>
    <xf numFmtId="0" fontId="10" fillId="0" borderId="0" xfId="15" applyFont="1" applyFill="1" applyAlignment="1" applyProtection="1">
      <alignment horizontal="center"/>
    </xf>
    <xf numFmtId="1" fontId="19" fillId="0" borderId="0" xfId="15" applyNumberFormat="1" applyFont="1" applyFill="1" applyBorder="1" applyAlignment="1" applyProtection="1">
      <alignment horizontal="left"/>
    </xf>
    <xf numFmtId="0" fontId="1" fillId="0" borderId="0" xfId="15" applyFont="1" applyFill="1" applyBorder="1" applyAlignment="1" applyProtection="1">
      <alignment horizontal="right"/>
    </xf>
    <xf numFmtId="5" fontId="1" fillId="0" borderId="1" xfId="15" applyNumberFormat="1" applyFont="1" applyFill="1" applyBorder="1" applyAlignment="1">
      <alignment horizontal="right"/>
    </xf>
    <xf numFmtId="5" fontId="1" fillId="0" borderId="0" xfId="15" applyNumberFormat="1" applyFont="1" applyFill="1" applyAlignment="1">
      <alignment horizontal="right"/>
    </xf>
    <xf numFmtId="0" fontId="1" fillId="0" borderId="0" xfId="15" applyFont="1" applyFill="1" applyBorder="1"/>
    <xf numFmtId="0" fontId="1" fillId="0" borderId="0" xfId="15" applyFont="1" applyFill="1" applyBorder="1" applyAlignment="1" applyProtection="1">
      <alignment horizontal="centerContinuous"/>
    </xf>
    <xf numFmtId="1" fontId="1" fillId="0" borderId="0" xfId="15" applyNumberFormat="1" applyFont="1" applyFill="1" applyBorder="1" applyAlignment="1" applyProtection="1">
      <alignment horizontal="centerContinuous"/>
    </xf>
    <xf numFmtId="0" fontId="10" fillId="0" borderId="5" xfId="15" applyFont="1" applyFill="1" applyBorder="1" applyAlignment="1" applyProtection="1">
      <alignment horizontal="centerContinuous"/>
    </xf>
    <xf numFmtId="0" fontId="1" fillId="0" borderId="5" xfId="15" applyFont="1" applyFill="1" applyBorder="1" applyAlignment="1" applyProtection="1">
      <alignment horizontal="centerContinuous"/>
    </xf>
    <xf numFmtId="0" fontId="1" fillId="0" borderId="5" xfId="15" applyFont="1" applyFill="1" applyBorder="1" applyAlignment="1">
      <alignment horizontal="centerContinuous"/>
    </xf>
    <xf numFmtId="0" fontId="1" fillId="0" borderId="5" xfId="15" applyFont="1" applyFill="1" applyBorder="1" applyAlignment="1" applyProtection="1">
      <alignment horizontal="right"/>
    </xf>
    <xf numFmtId="0" fontId="21" fillId="0" borderId="0" xfId="15" applyFont="1" applyFill="1" applyProtection="1"/>
    <xf numFmtId="0" fontId="11" fillId="0" borderId="0" xfId="15" applyFont="1" applyFill="1" applyProtection="1"/>
    <xf numFmtId="0" fontId="12" fillId="0" borderId="0" xfId="15" applyFont="1" applyFill="1"/>
    <xf numFmtId="0" fontId="16" fillId="0" borderId="0" xfId="15" applyFont="1" applyFill="1"/>
    <xf numFmtId="191" fontId="16" fillId="0" borderId="0" xfId="15" applyNumberFormat="1" applyFont="1" applyFill="1"/>
    <xf numFmtId="193" fontId="16" fillId="0" borderId="0" xfId="15" applyNumberFormat="1" applyFont="1" applyFill="1"/>
    <xf numFmtId="0" fontId="1" fillId="0" borderId="0" xfId="16" applyFont="1" applyFill="1" applyProtection="1"/>
    <xf numFmtId="0" fontId="1" fillId="0" borderId="0" xfId="16" applyFont="1" applyFill="1" applyAlignment="1" applyProtection="1">
      <alignment horizontal="right"/>
    </xf>
    <xf numFmtId="174" fontId="1" fillId="0" borderId="1" xfId="16" applyNumberFormat="1" applyFont="1" applyFill="1" applyBorder="1" applyProtection="1"/>
    <xf numFmtId="0" fontId="6" fillId="0" borderId="0" xfId="16" applyFont="1" applyFill="1" applyProtection="1">
      <protection locked="0"/>
    </xf>
    <xf numFmtId="0" fontId="1" fillId="0" borderId="0" xfId="16" applyFont="1" applyFill="1"/>
    <xf numFmtId="172" fontId="1" fillId="0" borderId="0" xfId="16" applyNumberFormat="1" applyFont="1" applyFill="1" applyAlignment="1" applyProtection="1">
      <alignment horizontal="left"/>
    </xf>
    <xf numFmtId="0" fontId="1" fillId="0" borderId="0" xfId="16" applyFont="1" applyFill="1" applyAlignment="1" applyProtection="1">
      <alignment horizontal="centerContinuous"/>
    </xf>
    <xf numFmtId="1" fontId="1" fillId="0" borderId="0" xfId="16" applyNumberFormat="1" applyFont="1" applyFill="1" applyBorder="1" applyAlignment="1" applyProtection="1">
      <alignment horizontal="right"/>
    </xf>
    <xf numFmtId="0" fontId="10" fillId="0" borderId="0" xfId="16" applyFont="1" applyFill="1" applyAlignment="1" applyProtection="1">
      <alignment horizontal="centerContinuous"/>
    </xf>
    <xf numFmtId="5" fontId="1" fillId="2" borderId="1" xfId="16" applyNumberFormat="1" applyFont="1" applyFill="1" applyBorder="1" applyAlignment="1" applyProtection="1">
      <alignment horizontal="right"/>
      <protection locked="0"/>
    </xf>
    <xf numFmtId="168" fontId="1" fillId="0" borderId="1" xfId="16" applyNumberFormat="1" applyFont="1" applyFill="1" applyBorder="1" applyProtection="1"/>
    <xf numFmtId="5" fontId="1" fillId="0" borderId="1" xfId="16" applyNumberFormat="1" applyFont="1" applyFill="1" applyBorder="1"/>
    <xf numFmtId="0" fontId="10" fillId="0" borderId="0" xfId="16" applyFont="1" applyFill="1" applyProtection="1"/>
    <xf numFmtId="5" fontId="1" fillId="2" borderId="1" xfId="16" applyNumberFormat="1" applyFont="1" applyFill="1" applyBorder="1" applyProtection="1">
      <protection locked="0"/>
    </xf>
    <xf numFmtId="5" fontId="1" fillId="0" borderId="1" xfId="16" applyNumberFormat="1" applyFont="1" applyFill="1" applyBorder="1" applyProtection="1"/>
    <xf numFmtId="0" fontId="1" fillId="0" borderId="2" xfId="16" applyFont="1" applyFill="1" applyBorder="1" applyProtection="1"/>
    <xf numFmtId="0" fontId="22" fillId="0" borderId="0" xfId="16" applyFont="1" applyFill="1" applyProtection="1"/>
    <xf numFmtId="0" fontId="6" fillId="0" borderId="0" xfId="16" applyFont="1" applyFill="1" applyProtection="1"/>
    <xf numFmtId="0" fontId="21" fillId="0" borderId="0" xfId="16" applyFont="1" applyFill="1" applyProtection="1"/>
    <xf numFmtId="0" fontId="11" fillId="0" borderId="0" xfId="16" applyFont="1" applyFill="1" applyProtection="1"/>
    <xf numFmtId="0" fontId="12" fillId="0" borderId="0" xfId="16" applyFont="1" applyFill="1"/>
    <xf numFmtId="0" fontId="16" fillId="0" borderId="0" xfId="16" applyFont="1" applyFill="1"/>
    <xf numFmtId="191" fontId="16" fillId="0" borderId="0" xfId="16" applyNumberFormat="1" applyFont="1" applyFill="1"/>
    <xf numFmtId="193" fontId="16" fillId="0" borderId="0" xfId="16" applyNumberFormat="1" applyFont="1" applyFill="1"/>
    <xf numFmtId="0" fontId="12" fillId="0" borderId="0" xfId="16" applyFont="1" applyFill="1" applyProtection="1"/>
    <xf numFmtId="0" fontId="1" fillId="0" borderId="0" xfId="0" applyFont="1"/>
    <xf numFmtId="0" fontId="23" fillId="0" borderId="0" xfId="0" applyFont="1"/>
    <xf numFmtId="0" fontId="10" fillId="0" borderId="0" xfId="0" applyFont="1" applyAlignment="1">
      <alignment horizontal="right"/>
    </xf>
    <xf numFmtId="0" fontId="1" fillId="0" borderId="0" xfId="0" applyFont="1" applyBorder="1"/>
    <xf numFmtId="0" fontId="23" fillId="0" borderId="7" xfId="0" applyFont="1" applyBorder="1"/>
    <xf numFmtId="0" fontId="23" fillId="0" borderId="4" xfId="0" applyFont="1" applyBorder="1"/>
    <xf numFmtId="0" fontId="1" fillId="0" borderId="4" xfId="0" applyFont="1" applyBorder="1"/>
    <xf numFmtId="0" fontId="10" fillId="0" borderId="4" xfId="0" applyFont="1" applyBorder="1" applyAlignment="1">
      <alignment horizontal="right"/>
    </xf>
    <xf numFmtId="0" fontId="1" fillId="0" borderId="8" xfId="0" applyFont="1" applyBorder="1"/>
    <xf numFmtId="0" fontId="10" fillId="0" borderId="10" xfId="0" applyFont="1" applyBorder="1" applyAlignment="1">
      <alignment horizontal="centerContinuous"/>
    </xf>
    <xf numFmtId="0" fontId="10" fillId="0" borderId="0" xfId="0" applyFont="1" applyBorder="1" applyAlignment="1">
      <alignment horizontal="centerContinuous"/>
    </xf>
    <xf numFmtId="0" fontId="10" fillId="0" borderId="11" xfId="0" applyFont="1" applyBorder="1" applyAlignment="1">
      <alignment horizontal="centerContinuous"/>
    </xf>
    <xf numFmtId="0" fontId="1" fillId="5" borderId="6" xfId="0" applyFont="1" applyFill="1" applyBorder="1"/>
    <xf numFmtId="0" fontId="10" fillId="5" borderId="9" xfId="0" applyFont="1" applyFill="1" applyBorder="1" applyAlignment="1">
      <alignment horizontal="center"/>
    </xf>
    <xf numFmtId="0" fontId="1" fillId="5" borderId="9" xfId="0" applyFont="1" applyFill="1" applyBorder="1"/>
    <xf numFmtId="0" fontId="10" fillId="5" borderId="12" xfId="0" applyFont="1" applyFill="1" applyBorder="1" applyAlignment="1">
      <alignment horizontal="center"/>
    </xf>
    <xf numFmtId="0" fontId="1" fillId="2" borderId="19" xfId="0" applyFont="1" applyFill="1" applyBorder="1" applyProtection="1">
      <protection locked="0"/>
    </xf>
    <xf numFmtId="3" fontId="1" fillId="2" borderId="19" xfId="0" applyNumberFormat="1" applyFont="1" applyFill="1" applyBorder="1" applyProtection="1">
      <protection locked="0"/>
    </xf>
    <xf numFmtId="173" fontId="1" fillId="0" borderId="19" xfId="0" applyNumberFormat="1" applyFont="1" applyFill="1" applyBorder="1" applyProtection="1"/>
    <xf numFmtId="0" fontId="1" fillId="0" borderId="0" xfId="5" applyFont="1" applyAlignment="1" applyProtection="1">
      <alignment horizontal="right"/>
    </xf>
    <xf numFmtId="0" fontId="1" fillId="0" borderId="0" xfId="5" applyFont="1" applyProtection="1"/>
    <xf numFmtId="0" fontId="4" fillId="0" borderId="0" xfId="5" applyFont="1" applyProtection="1"/>
    <xf numFmtId="0" fontId="10" fillId="0" borderId="0" xfId="5" applyFont="1" applyAlignment="1" applyProtection="1">
      <alignment horizontal="centerContinuous"/>
    </xf>
    <xf numFmtId="0" fontId="1" fillId="0" borderId="0" xfId="5" applyFont="1" applyProtection="1">
      <protection locked="0"/>
    </xf>
    <xf numFmtId="0" fontId="1" fillId="0" borderId="0" xfId="5" applyFont="1" applyAlignment="1" applyProtection="1">
      <alignment horizontal="centerContinuous"/>
    </xf>
    <xf numFmtId="0" fontId="1" fillId="0" borderId="1" xfId="5" applyFont="1" applyBorder="1" applyAlignment="1" applyProtection="1">
      <alignment horizontal="centerContinuous"/>
      <protection locked="0"/>
    </xf>
    <xf numFmtId="0" fontId="1" fillId="0" borderId="7" xfId="5" applyFont="1" applyBorder="1" applyAlignment="1" applyProtection="1">
      <alignment horizontal="centerContinuous"/>
    </xf>
    <xf numFmtId="0" fontId="1" fillId="0" borderId="4" xfId="5" applyFont="1" applyBorder="1" applyAlignment="1" applyProtection="1">
      <alignment horizontal="centerContinuous"/>
    </xf>
    <xf numFmtId="0" fontId="1" fillId="0" borderId="8" xfId="5" applyFont="1" applyBorder="1" applyAlignment="1" applyProtection="1">
      <alignment horizontal="centerContinuous"/>
    </xf>
    <xf numFmtId="0" fontId="1" fillId="0" borderId="13" xfId="5" applyFont="1" applyBorder="1" applyAlignment="1" applyProtection="1">
      <alignment horizontal="centerContinuous"/>
      <protection locked="0"/>
    </xf>
    <xf numFmtId="0" fontId="1" fillId="0" borderId="14" xfId="5" applyFont="1" applyBorder="1" applyAlignment="1" applyProtection="1">
      <alignment horizontal="centerContinuous"/>
      <protection locked="0"/>
    </xf>
    <xf numFmtId="0" fontId="1" fillId="0" borderId="6" xfId="5" applyFont="1" applyBorder="1" applyAlignment="1" applyProtection="1">
      <alignment horizontal="centerContinuous"/>
    </xf>
    <xf numFmtId="0" fontId="1" fillId="0" borderId="9" xfId="5" applyFont="1" applyBorder="1" applyAlignment="1" applyProtection="1">
      <alignment horizontal="centerContinuous"/>
    </xf>
    <xf numFmtId="0" fontId="1" fillId="0" borderId="12" xfId="5" applyFont="1" applyBorder="1" applyAlignment="1" applyProtection="1">
      <alignment horizontal="centerContinuous"/>
    </xf>
    <xf numFmtId="0" fontId="1" fillId="2" borderId="19" xfId="5" applyFont="1" applyFill="1" applyBorder="1" applyProtection="1">
      <protection locked="0"/>
    </xf>
    <xf numFmtId="168" fontId="1" fillId="2" borderId="19" xfId="5" applyNumberFormat="1" applyFont="1" applyFill="1" applyBorder="1" applyProtection="1">
      <protection locked="0"/>
    </xf>
    <xf numFmtId="3" fontId="1" fillId="2" borderId="19" xfId="5" applyNumberFormat="1" applyFont="1" applyFill="1" applyBorder="1" applyProtection="1">
      <protection locked="0"/>
    </xf>
    <xf numFmtId="0" fontId="16" fillId="0" borderId="2" xfId="15" applyFont="1" applyFill="1" applyBorder="1" applyProtection="1"/>
    <xf numFmtId="0" fontId="1" fillId="0" borderId="0" xfId="0" applyFont="1" applyProtection="1"/>
    <xf numFmtId="0" fontId="1" fillId="2" borderId="12" xfId="0" applyFont="1" applyFill="1" applyBorder="1" applyProtection="1">
      <protection locked="0"/>
    </xf>
    <xf numFmtId="3" fontId="1" fillId="2" borderId="12" xfId="0" applyNumberFormat="1" applyFont="1" applyFill="1" applyBorder="1" applyProtection="1">
      <protection locked="0"/>
    </xf>
    <xf numFmtId="173" fontId="1" fillId="0" borderId="12" xfId="0" applyNumberFormat="1" applyFont="1" applyFill="1" applyBorder="1" applyProtection="1"/>
    <xf numFmtId="0" fontId="1" fillId="5" borderId="0" xfId="0" applyFont="1" applyFill="1" applyBorder="1"/>
    <xf numFmtId="0" fontId="10" fillId="5" borderId="0" xfId="0" applyFont="1" applyFill="1" applyBorder="1" applyAlignment="1">
      <alignment horizontal="center"/>
    </xf>
    <xf numFmtId="14" fontId="10" fillId="5" borderId="0" xfId="0" applyNumberFormat="1" applyFont="1" applyFill="1" applyBorder="1" applyAlignment="1">
      <alignment horizontal="center"/>
    </xf>
    <xf numFmtId="0" fontId="10" fillId="5" borderId="1" xfId="0" applyFont="1" applyFill="1" applyBorder="1" applyAlignment="1">
      <alignment horizontal="center"/>
    </xf>
    <xf numFmtId="0" fontId="1" fillId="5" borderId="4" xfId="0" applyFont="1" applyFill="1" applyBorder="1"/>
    <xf numFmtId="0" fontId="17" fillId="5" borderId="4" xfId="0" applyFont="1" applyFill="1" applyBorder="1" applyAlignment="1">
      <alignment horizontal="center"/>
    </xf>
    <xf numFmtId="0" fontId="17" fillId="5" borderId="6" xfId="0" applyFont="1" applyFill="1" applyBorder="1" applyAlignment="1">
      <alignment horizontal="center"/>
    </xf>
    <xf numFmtId="0" fontId="12" fillId="0" borderId="0" xfId="13" applyFont="1" applyFill="1" applyProtection="1"/>
    <xf numFmtId="0" fontId="12" fillId="0" borderId="0" xfId="13" applyFont="1" applyFill="1" applyBorder="1" applyProtection="1"/>
    <xf numFmtId="0" fontId="27" fillId="0" borderId="0" xfId="7" applyFont="1" applyAlignment="1" applyProtection="1">
      <alignment horizontal="center"/>
    </xf>
    <xf numFmtId="5" fontId="12" fillId="0" borderId="1" xfId="13" applyNumberFormat="1" applyFont="1" applyFill="1" applyBorder="1" applyProtection="1"/>
    <xf numFmtId="176" fontId="6" fillId="0" borderId="0" xfId="10" applyNumberFormat="1" applyFont="1" applyFill="1" applyBorder="1" applyAlignment="1" applyProtection="1">
      <alignment horizontal="right"/>
    </xf>
    <xf numFmtId="168" fontId="0" fillId="0" borderId="0" xfId="0" applyNumberFormat="1"/>
    <xf numFmtId="2" fontId="0" fillId="0" borderId="0" xfId="0" applyNumberFormat="1"/>
    <xf numFmtId="14" fontId="21" fillId="0" borderId="0" xfId="16" applyNumberFormat="1" applyFont="1" applyFill="1" applyProtection="1"/>
    <xf numFmtId="168" fontId="21" fillId="0" borderId="0" xfId="10" applyNumberFormat="1" applyFont="1" applyFill="1" applyBorder="1" applyProtection="1"/>
    <xf numFmtId="166" fontId="4" fillId="0" borderId="0" xfId="7" applyNumberFormat="1" applyFont="1" applyFill="1" applyBorder="1" applyProtection="1"/>
    <xf numFmtId="166" fontId="4" fillId="2" borderId="3" xfId="7" applyNumberFormat="1" applyFont="1" applyFill="1" applyBorder="1" applyProtection="1">
      <protection locked="0"/>
    </xf>
    <xf numFmtId="0" fontId="12" fillId="0" borderId="0" xfId="10" applyFont="1" applyFill="1" applyBorder="1" applyAlignment="1" applyProtection="1">
      <alignment horizontal="right"/>
    </xf>
    <xf numFmtId="172" fontId="1" fillId="0" borderId="0" xfId="10" applyNumberFormat="1" applyFont="1" applyFill="1" applyBorder="1" applyAlignment="1" applyProtection="1">
      <alignment horizontal="left"/>
    </xf>
    <xf numFmtId="172" fontId="1" fillId="0" borderId="0" xfId="11" applyNumberFormat="1" applyFont="1" applyFill="1" applyAlignment="1">
      <alignment horizontal="left"/>
    </xf>
    <xf numFmtId="172" fontId="1" fillId="0" borderId="0" xfId="12" applyNumberFormat="1" applyFont="1" applyAlignment="1" applyProtection="1">
      <alignment horizontal="left"/>
    </xf>
    <xf numFmtId="172" fontId="1" fillId="0" borderId="0" xfId="9" applyNumberFormat="1" applyFont="1" applyFill="1" applyAlignment="1">
      <alignment horizontal="left"/>
    </xf>
    <xf numFmtId="172" fontId="1" fillId="0" borderId="0" xfId="13" applyNumberFormat="1" applyFont="1" applyFill="1" applyAlignment="1" applyProtection="1">
      <alignment horizontal="left"/>
    </xf>
    <xf numFmtId="172" fontId="1" fillId="0" borderId="0" xfId="14" applyNumberFormat="1" applyFont="1" applyFill="1" applyAlignment="1" applyProtection="1">
      <alignment horizontal="left"/>
    </xf>
    <xf numFmtId="0" fontId="30" fillId="0" borderId="0" xfId="7" applyFont="1" applyProtection="1"/>
    <xf numFmtId="191" fontId="12" fillId="0" borderId="9" xfId="12" applyNumberFormat="1" applyFont="1" applyFill="1" applyBorder="1" applyAlignment="1" applyProtection="1">
      <alignment horizontal="center"/>
    </xf>
    <xf numFmtId="191" fontId="12" fillId="0" borderId="0" xfId="12" applyNumberFormat="1" applyFont="1" applyFill="1" applyAlignment="1" applyProtection="1">
      <alignment horizontal="center"/>
    </xf>
    <xf numFmtId="2" fontId="12" fillId="0" borderId="9" xfId="12" applyNumberFormat="1" applyFont="1" applyFill="1" applyBorder="1" applyProtection="1"/>
    <xf numFmtId="0" fontId="26" fillId="0" borderId="0" xfId="10" applyFont="1" applyFill="1"/>
    <xf numFmtId="0" fontId="26" fillId="0" borderId="0" xfId="10" applyFont="1" applyFill="1" applyBorder="1" applyProtection="1"/>
    <xf numFmtId="0" fontId="17" fillId="0" borderId="0" xfId="10" applyFont="1" applyFill="1" applyBorder="1" applyProtection="1"/>
    <xf numFmtId="0" fontId="31" fillId="0" borderId="0" xfId="10" applyFont="1" applyFill="1" applyBorder="1" applyProtection="1"/>
    <xf numFmtId="0" fontId="26" fillId="0" borderId="0" xfId="10" quotePrefix="1" applyFont="1" applyFill="1" applyBorder="1" applyProtection="1"/>
    <xf numFmtId="0" fontId="27" fillId="0" borderId="0" xfId="7" applyFont="1" applyBorder="1" applyAlignment="1" applyProtection="1">
      <alignment horizontal="centerContinuous"/>
    </xf>
    <xf numFmtId="0" fontId="12" fillId="0" borderId="0" xfId="14" applyFont="1" applyFill="1" applyProtection="1"/>
    <xf numFmtId="173" fontId="1" fillId="2" borderId="1" xfId="14" applyNumberFormat="1" applyFont="1" applyFill="1" applyBorder="1" applyProtection="1">
      <protection locked="0"/>
    </xf>
    <xf numFmtId="0" fontId="17" fillId="0" borderId="0" xfId="14" applyFont="1" applyFill="1" applyProtection="1"/>
    <xf numFmtId="0" fontId="18" fillId="0" borderId="0" xfId="9" applyFont="1" applyFill="1"/>
    <xf numFmtId="5" fontId="1" fillId="5" borderId="1" xfId="13" applyNumberFormat="1" applyFont="1" applyFill="1" applyBorder="1" applyAlignment="1" applyProtection="1">
      <alignment horizontal="center"/>
    </xf>
    <xf numFmtId="2" fontId="1" fillId="2" borderId="1" xfId="14" applyNumberFormat="1" applyFont="1" applyFill="1" applyBorder="1" applyProtection="1">
      <protection locked="0"/>
    </xf>
    <xf numFmtId="173" fontId="1" fillId="0" borderId="1" xfId="14" applyNumberFormat="1" applyFont="1" applyFill="1" applyBorder="1" applyProtection="1"/>
    <xf numFmtId="0" fontId="1" fillId="0" borderId="0" xfId="13" applyFont="1" applyFill="1" applyProtection="1">
      <protection locked="0"/>
    </xf>
    <xf numFmtId="0" fontId="17" fillId="0" borderId="0" xfId="13" applyFont="1" applyFill="1" applyProtection="1"/>
    <xf numFmtId="173" fontId="1" fillId="0" borderId="0" xfId="13" applyNumberFormat="1" applyFont="1" applyFill="1" applyBorder="1" applyProtection="1">
      <protection locked="0"/>
    </xf>
    <xf numFmtId="0" fontId="32" fillId="0" borderId="0" xfId="10" applyFont="1" applyFill="1"/>
    <xf numFmtId="0" fontId="1" fillId="0" borderId="0" xfId="14" applyFont="1" applyFill="1" applyAlignment="1" applyProtection="1">
      <alignment horizontal="left"/>
    </xf>
    <xf numFmtId="205" fontId="1" fillId="0" borderId="0" xfId="10" applyNumberFormat="1" applyFont="1" applyFill="1" applyBorder="1" applyProtection="1"/>
    <xf numFmtId="171" fontId="1" fillId="0" borderId="0" xfId="10" applyNumberFormat="1" applyFont="1" applyFill="1" applyBorder="1" applyProtection="1">
      <protection locked="0"/>
    </xf>
    <xf numFmtId="37" fontId="1" fillId="0" borderId="0" xfId="10" applyNumberFormat="1" applyFont="1" applyFill="1" applyBorder="1" applyProtection="1"/>
    <xf numFmtId="0" fontId="16" fillId="0" borderId="0" xfId="10" applyFont="1" applyFill="1" applyBorder="1" applyAlignment="1" applyProtection="1">
      <alignment horizontal="right"/>
    </xf>
    <xf numFmtId="177" fontId="0" fillId="0" borderId="0" xfId="0" applyNumberFormat="1"/>
    <xf numFmtId="205" fontId="1" fillId="0" borderId="1" xfId="10" applyNumberFormat="1" applyFont="1" applyFill="1" applyBorder="1" applyProtection="1"/>
    <xf numFmtId="0" fontId="1" fillId="0" borderId="0" xfId="15" applyFont="1" applyFill="1" applyBorder="1" applyAlignment="1" applyProtection="1">
      <alignment horizontal="center"/>
    </xf>
    <xf numFmtId="207" fontId="1" fillId="0" borderId="1" xfId="15" applyNumberFormat="1" applyFont="1" applyFill="1" applyBorder="1" applyProtection="1"/>
    <xf numFmtId="0" fontId="27" fillId="0" borderId="0" xfId="7" applyFont="1" applyFill="1" applyAlignment="1" applyProtection="1">
      <alignment horizontal="center"/>
    </xf>
    <xf numFmtId="0" fontId="5" fillId="0" borderId="0" xfId="7" applyFont="1" applyFill="1" applyAlignment="1" applyProtection="1">
      <alignment horizontal="center"/>
    </xf>
    <xf numFmtId="173" fontId="12" fillId="0" borderId="1" xfId="14" applyNumberFormat="1" applyFont="1" applyFill="1" applyBorder="1" applyProtection="1"/>
    <xf numFmtId="174" fontId="1" fillId="0" borderId="0" xfId="14" applyNumberFormat="1" applyFont="1" applyFill="1" applyBorder="1" applyAlignment="1" applyProtection="1">
      <alignment horizontal="left"/>
    </xf>
    <xf numFmtId="5" fontId="4" fillId="0" borderId="1" xfId="7" applyNumberFormat="1" applyFont="1" applyFill="1" applyBorder="1" applyAlignment="1" applyProtection="1">
      <alignment horizontal="right"/>
    </xf>
    <xf numFmtId="0" fontId="4" fillId="0" borderId="0" xfId="7" applyFont="1" applyFill="1" applyProtection="1">
      <protection locked="0"/>
    </xf>
    <xf numFmtId="0" fontId="18" fillId="0" borderId="0" xfId="0" applyFont="1" applyFill="1" applyAlignment="1">
      <alignment horizontal="center"/>
    </xf>
    <xf numFmtId="173" fontId="1" fillId="0" borderId="1" xfId="10" applyNumberFormat="1" applyFont="1" applyFill="1" applyBorder="1" applyAlignment="1" applyProtection="1">
      <alignment horizontal="right"/>
    </xf>
    <xf numFmtId="14" fontId="33" fillId="0" borderId="0" xfId="10" applyNumberFormat="1" applyFont="1" applyFill="1"/>
    <xf numFmtId="0" fontId="34" fillId="5" borderId="0" xfId="10" applyFont="1" applyFill="1" applyBorder="1" applyProtection="1"/>
    <xf numFmtId="0" fontId="1" fillId="5" borderId="0" xfId="10" applyFont="1" applyFill="1" applyBorder="1" applyProtection="1"/>
    <xf numFmtId="0" fontId="1" fillId="5" borderId="0" xfId="10" applyFont="1" applyFill="1"/>
    <xf numFmtId="5" fontId="1" fillId="5" borderId="1" xfId="13" applyNumberFormat="1" applyFont="1" applyFill="1" applyBorder="1" applyProtection="1"/>
    <xf numFmtId="0" fontId="0" fillId="6" borderId="0" xfId="0" applyFill="1"/>
    <xf numFmtId="0" fontId="24" fillId="6" borderId="0" xfId="3" applyFill="1" applyAlignment="1" applyProtection="1"/>
    <xf numFmtId="0" fontId="24" fillId="0" borderId="0" xfId="3" applyAlignment="1" applyProtection="1"/>
    <xf numFmtId="0" fontId="35" fillId="6" borderId="0" xfId="0" applyFont="1" applyFill="1" applyAlignment="1"/>
    <xf numFmtId="0" fontId="0" fillId="6" borderId="0" xfId="0" applyFill="1" applyAlignment="1"/>
    <xf numFmtId="0" fontId="10" fillId="0" borderId="0" xfId="10" applyFont="1" applyFill="1" applyBorder="1" applyAlignment="1" applyProtection="1">
      <alignment horizontal="right"/>
    </xf>
    <xf numFmtId="174" fontId="12" fillId="0" borderId="0" xfId="10" applyNumberFormat="1" applyFont="1" applyFill="1" applyBorder="1" applyAlignment="1" applyProtection="1">
      <alignment horizontal="left"/>
    </xf>
    <xf numFmtId="174" fontId="1" fillId="0" borderId="0" xfId="10" applyNumberFormat="1" applyFont="1" applyFill="1" applyBorder="1" applyAlignment="1" applyProtection="1">
      <alignment horizontal="left"/>
    </xf>
    <xf numFmtId="0" fontId="1" fillId="0" borderId="0" xfId="14" applyFont="1" applyFill="1" applyAlignment="1" applyProtection="1">
      <alignment horizontal="right"/>
    </xf>
    <xf numFmtId="0" fontId="17" fillId="0" borderId="0" xfId="14" applyFont="1" applyFill="1" applyAlignment="1" applyProtection="1">
      <alignment horizontal="centerContinuous"/>
    </xf>
    <xf numFmtId="5" fontId="4" fillId="2" borderId="1" xfId="7" applyNumberFormat="1" applyFont="1" applyFill="1" applyBorder="1" applyAlignment="1" applyProtection="1">
      <alignment horizontal="right"/>
      <protection locked="0"/>
    </xf>
    <xf numFmtId="5" fontId="4" fillId="2" borderId="3" xfId="7" applyNumberFormat="1" applyFont="1" applyFill="1" applyBorder="1" applyAlignment="1" applyProtection="1">
      <alignment horizontal="right"/>
      <protection locked="0"/>
    </xf>
    <xf numFmtId="0" fontId="17" fillId="0" borderId="0" xfId="10" applyFont="1" applyFill="1"/>
    <xf numFmtId="0" fontId="1" fillId="0" borderId="0" xfId="10" applyFont="1" applyFill="1" applyAlignment="1">
      <alignment horizontal="left"/>
    </xf>
    <xf numFmtId="0" fontId="1" fillId="0" borderId="0" xfId="10" applyFont="1" applyFill="1" applyAlignment="1">
      <alignment horizontal="left" wrapText="1"/>
    </xf>
    <xf numFmtId="0" fontId="1" fillId="0" borderId="0" xfId="10" applyFont="1" applyFill="1" applyAlignment="1">
      <alignment wrapText="1"/>
    </xf>
    <xf numFmtId="3" fontId="1" fillId="0" borderId="0" xfId="10" applyNumberFormat="1" applyFont="1" applyFill="1" applyBorder="1"/>
    <xf numFmtId="5" fontId="1" fillId="0" borderId="0" xfId="16" applyNumberFormat="1" applyFont="1" applyFill="1" applyBorder="1" applyProtection="1"/>
    <xf numFmtId="0" fontId="25" fillId="0" borderId="0" xfId="10" applyFont="1" applyFill="1" applyBorder="1" applyProtection="1"/>
    <xf numFmtId="0" fontId="36" fillId="0" borderId="0" xfId="10" applyFont="1" applyFill="1" applyBorder="1" applyProtection="1"/>
    <xf numFmtId="0" fontId="1" fillId="0" borderId="0" xfId="10" quotePrefix="1" applyFont="1" applyFill="1"/>
    <xf numFmtId="0" fontId="1" fillId="0" borderId="0" xfId="10" quotePrefix="1" applyFont="1" applyFill="1" applyBorder="1" applyProtection="1"/>
    <xf numFmtId="176" fontId="1" fillId="0" borderId="3" xfId="10" applyNumberFormat="1" applyFont="1" applyFill="1" applyBorder="1" applyAlignment="1" applyProtection="1">
      <alignment horizontal="right"/>
    </xf>
    <xf numFmtId="37" fontId="1" fillId="0" borderId="1" xfId="10" applyNumberFormat="1" applyFont="1" applyFill="1" applyBorder="1" applyAlignment="1" applyProtection="1">
      <alignment horizontal="right"/>
    </xf>
    <xf numFmtId="0" fontId="20" fillId="0" borderId="0" xfId="10" applyFont="1" applyFill="1" applyBorder="1" applyProtection="1"/>
    <xf numFmtId="0" fontId="38" fillId="0" borderId="0" xfId="10" applyFont="1" applyFill="1" applyBorder="1" applyProtection="1"/>
    <xf numFmtId="0" fontId="10" fillId="5" borderId="0" xfId="10" applyFont="1" applyFill="1" applyBorder="1" applyProtection="1"/>
    <xf numFmtId="3" fontId="1" fillId="0" borderId="0" xfId="10" applyNumberFormat="1" applyFont="1" applyFill="1" applyBorder="1" applyAlignment="1" applyProtection="1">
      <alignment horizontal="right"/>
    </xf>
    <xf numFmtId="171" fontId="17" fillId="0" borderId="0" xfId="10" applyNumberFormat="1" applyFont="1" applyFill="1" applyBorder="1" applyAlignment="1" applyProtection="1">
      <alignment horizontal="left"/>
    </xf>
    <xf numFmtId="3" fontId="1" fillId="0" borderId="1" xfId="10" applyNumberFormat="1" applyFont="1" applyFill="1" applyBorder="1" applyAlignment="1">
      <alignment horizontal="center"/>
    </xf>
    <xf numFmtId="168" fontId="1" fillId="0" borderId="1" xfId="10" applyNumberFormat="1" applyFont="1" applyFill="1" applyBorder="1" applyAlignment="1" applyProtection="1">
      <alignment horizontal="center"/>
    </xf>
    <xf numFmtId="205" fontId="1" fillId="0" borderId="1" xfId="10" applyNumberFormat="1" applyFont="1" applyFill="1" applyBorder="1" applyAlignment="1" applyProtection="1">
      <alignment horizontal="center"/>
    </xf>
    <xf numFmtId="208" fontId="1" fillId="0" borderId="1" xfId="10" applyNumberFormat="1" applyFont="1" applyFill="1" applyBorder="1" applyAlignment="1" applyProtection="1">
      <alignment horizontal="right"/>
    </xf>
    <xf numFmtId="168" fontId="39" fillId="0" borderId="0" xfId="0" applyNumberFormat="1" applyFont="1"/>
    <xf numFmtId="0" fontId="39" fillId="0" borderId="0" xfId="0" applyFont="1"/>
    <xf numFmtId="2" fontId="39" fillId="0" borderId="0" xfId="0" applyNumberFormat="1" applyFont="1"/>
    <xf numFmtId="3" fontId="1" fillId="0" borderId="1" xfId="10" applyNumberFormat="1" applyFont="1" applyFill="1" applyBorder="1" applyProtection="1"/>
    <xf numFmtId="171" fontId="1" fillId="0" borderId="0" xfId="10" applyNumberFormat="1" applyFont="1" applyFill="1" applyBorder="1" applyAlignment="1" applyProtection="1">
      <alignment horizontal="center"/>
    </xf>
    <xf numFmtId="208" fontId="1" fillId="0" borderId="0" xfId="10" applyNumberFormat="1" applyFont="1" applyFill="1" applyBorder="1" applyAlignment="1" applyProtection="1">
      <alignment horizontal="right"/>
    </xf>
    <xf numFmtId="173" fontId="1" fillId="0" borderId="0" xfId="10" applyNumberFormat="1" applyFont="1" applyFill="1" applyBorder="1" applyAlignment="1" applyProtection="1">
      <alignment horizontal="right"/>
    </xf>
    <xf numFmtId="208" fontId="1" fillId="0" borderId="0" xfId="10" applyNumberFormat="1" applyFont="1" applyFill="1" applyBorder="1" applyAlignment="1" applyProtection="1"/>
    <xf numFmtId="5" fontId="1" fillId="2" borderId="1" xfId="10" applyNumberFormat="1" applyFont="1" applyFill="1" applyBorder="1" applyAlignment="1" applyProtection="1">
      <alignment horizontal="right"/>
      <protection locked="0"/>
    </xf>
    <xf numFmtId="0" fontId="41" fillId="0" borderId="0" xfId="10" applyFont="1" applyFill="1" applyBorder="1" applyProtection="1"/>
    <xf numFmtId="10" fontId="17" fillId="0" borderId="0" xfId="10" applyNumberFormat="1" applyFont="1" applyFill="1" applyBorder="1" applyAlignment="1" applyProtection="1">
      <alignment horizontal="left"/>
    </xf>
    <xf numFmtId="5" fontId="1" fillId="0" borderId="0" xfId="13" applyNumberFormat="1" applyFont="1" applyFill="1" applyBorder="1" applyAlignment="1" applyProtection="1">
      <alignment horizontal="right"/>
    </xf>
    <xf numFmtId="173" fontId="1" fillId="0" borderId="0" xfId="13" applyNumberFormat="1" applyFont="1" applyFill="1" applyBorder="1" applyProtection="1"/>
    <xf numFmtId="0" fontId="16" fillId="0" borderId="0" xfId="10" applyFont="1" applyFill="1" applyBorder="1" applyAlignment="1" applyProtection="1">
      <alignment horizontal="centerContinuous"/>
    </xf>
    <xf numFmtId="5" fontId="4" fillId="0" borderId="1" xfId="7" applyNumberFormat="1" applyFont="1" applyBorder="1" applyProtection="1"/>
    <xf numFmtId="37" fontId="4" fillId="0" borderId="0" xfId="7" applyNumberFormat="1" applyFont="1" applyFill="1" applyBorder="1" applyProtection="1"/>
    <xf numFmtId="209" fontId="4" fillId="0" borderId="0" xfId="7" applyNumberFormat="1" applyFont="1" applyBorder="1" applyProtection="1"/>
    <xf numFmtId="5" fontId="1" fillId="0" borderId="0" xfId="13" applyNumberFormat="1" applyFont="1" applyFill="1" applyProtection="1">
      <protection locked="0"/>
    </xf>
    <xf numFmtId="0" fontId="1" fillId="0" borderId="0" xfId="9" applyFont="1" applyFill="1" applyProtection="1"/>
    <xf numFmtId="5" fontId="1" fillId="0" borderId="0" xfId="9" applyNumberFormat="1" applyFont="1" applyFill="1" applyBorder="1" applyAlignment="1" applyProtection="1"/>
    <xf numFmtId="173" fontId="1" fillId="0" borderId="0" xfId="10" applyNumberFormat="1" applyFont="1" applyFill="1" applyBorder="1" applyAlignment="1" applyProtection="1">
      <alignment horizontal="center"/>
    </xf>
    <xf numFmtId="0" fontId="16" fillId="0" borderId="0" xfId="0" applyFont="1" applyFill="1" applyBorder="1" applyAlignment="1">
      <alignment horizontal="center"/>
    </xf>
    <xf numFmtId="173" fontId="1" fillId="2" borderId="1" xfId="8" applyNumberFormat="1" applyFont="1" applyFill="1" applyBorder="1" applyProtection="1">
      <protection locked="0"/>
    </xf>
    <xf numFmtId="0" fontId="16" fillId="0" borderId="0" xfId="0" applyFont="1" applyFill="1" applyBorder="1" applyAlignment="1">
      <alignment horizontal="right"/>
    </xf>
    <xf numFmtId="211" fontId="4" fillId="0" borderId="0" xfId="7" applyNumberFormat="1" applyFont="1" applyAlignment="1" applyProtection="1">
      <alignment horizontal="right"/>
    </xf>
    <xf numFmtId="211" fontId="4" fillId="0" borderId="0" xfId="7" applyNumberFormat="1" applyFont="1" applyProtection="1"/>
    <xf numFmtId="173" fontId="1" fillId="0" borderId="0" xfId="8" applyNumberFormat="1" applyFont="1" applyProtection="1"/>
    <xf numFmtId="3" fontId="1" fillId="0" borderId="3" xfId="10" applyNumberFormat="1" applyFont="1" applyFill="1" applyBorder="1" applyProtection="1"/>
    <xf numFmtId="171" fontId="1" fillId="0" borderId="3" xfId="10" applyNumberFormat="1" applyFont="1" applyFill="1" applyBorder="1" applyProtection="1"/>
    <xf numFmtId="0" fontId="1" fillId="0" borderId="2" xfId="10" quotePrefix="1" applyFont="1" applyFill="1" applyBorder="1" applyProtection="1"/>
    <xf numFmtId="4" fontId="1" fillId="0" borderId="2" xfId="10" applyNumberFormat="1" applyFont="1" applyFill="1" applyBorder="1" applyProtection="1"/>
    <xf numFmtId="171" fontId="1" fillId="0" borderId="2" xfId="10" applyNumberFormat="1" applyFont="1" applyFill="1" applyBorder="1" applyProtection="1"/>
    <xf numFmtId="10" fontId="1" fillId="0" borderId="1" xfId="10" applyNumberFormat="1" applyFont="1" applyFill="1" applyBorder="1" applyAlignment="1" applyProtection="1">
      <alignment horizontal="right"/>
    </xf>
    <xf numFmtId="10" fontId="1" fillId="0" borderId="1" xfId="10" applyNumberFormat="1" applyFont="1" applyFill="1" applyBorder="1" applyAlignment="1" applyProtection="1">
      <alignment horizontal="center"/>
    </xf>
    <xf numFmtId="3" fontId="1" fillId="0" borderId="0" xfId="10" applyNumberFormat="1" applyFont="1" applyFill="1" applyBorder="1" applyAlignment="1" applyProtection="1">
      <alignment horizontal="center"/>
    </xf>
    <xf numFmtId="173" fontId="26" fillId="0" borderId="0" xfId="10" applyNumberFormat="1" applyFont="1" applyFill="1" applyBorder="1" applyProtection="1"/>
    <xf numFmtId="0" fontId="40" fillId="0" borderId="0" xfId="10" applyFont="1" applyFill="1" applyBorder="1" applyProtection="1"/>
    <xf numFmtId="0" fontId="42" fillId="0" borderId="0" xfId="10" applyFont="1" applyFill="1" applyBorder="1" applyProtection="1"/>
    <xf numFmtId="0" fontId="32" fillId="0" borderId="0" xfId="10" applyFont="1" applyFill="1" applyBorder="1" applyProtection="1"/>
    <xf numFmtId="173" fontId="36" fillId="0" borderId="0" xfId="10" applyNumberFormat="1" applyFont="1" applyFill="1" applyBorder="1" applyProtection="1"/>
    <xf numFmtId="0" fontId="37" fillId="0" borderId="0" xfId="10" applyFont="1" applyFill="1" applyBorder="1" applyProtection="1"/>
    <xf numFmtId="3" fontId="36" fillId="0" borderId="0" xfId="10" applyNumberFormat="1" applyFont="1" applyFill="1" applyBorder="1" applyProtection="1"/>
    <xf numFmtId="0" fontId="43" fillId="0" borderId="0" xfId="10" applyFont="1" applyFill="1" applyBorder="1" applyProtection="1"/>
    <xf numFmtId="171" fontId="44" fillId="0" borderId="0" xfId="10" applyNumberFormat="1" applyFont="1" applyFill="1" applyBorder="1" applyProtection="1"/>
    <xf numFmtId="0" fontId="33" fillId="0" borderId="0" xfId="10" applyFont="1" applyFill="1" applyBorder="1" applyProtection="1"/>
    <xf numFmtId="0" fontId="45" fillId="0" borderId="0" xfId="10" applyFont="1" applyFill="1" applyBorder="1" applyProtection="1"/>
    <xf numFmtId="0" fontId="46" fillId="0" borderId="0" xfId="0" applyFont="1" applyFill="1" applyAlignment="1" applyProtection="1">
      <alignment horizontal="right"/>
      <protection locked="0"/>
    </xf>
    <xf numFmtId="168" fontId="46" fillId="0" borderId="0" xfId="0" applyNumberFormat="1" applyFont="1"/>
    <xf numFmtId="2" fontId="46" fillId="0" borderId="0" xfId="0" applyNumberFormat="1" applyFont="1"/>
    <xf numFmtId="168" fontId="12" fillId="0" borderId="1" xfId="10" applyNumberFormat="1" applyFont="1" applyFill="1" applyBorder="1" applyAlignment="1" applyProtection="1">
      <alignment horizontal="right"/>
    </xf>
    <xf numFmtId="0" fontId="12" fillId="0" borderId="2" xfId="10" applyFont="1" applyFill="1" applyBorder="1" applyAlignment="1" applyProtection="1">
      <alignment horizontal="left"/>
    </xf>
    <xf numFmtId="177" fontId="12" fillId="0" borderId="0" xfId="10" applyNumberFormat="1" applyFont="1" applyFill="1" applyBorder="1" applyProtection="1"/>
    <xf numFmtId="176" fontId="12" fillId="0" borderId="0" xfId="10" applyNumberFormat="1" applyFont="1" applyFill="1" applyBorder="1" applyProtection="1"/>
    <xf numFmtId="176" fontId="21" fillId="0" borderId="0" xfId="10" applyNumberFormat="1" applyFont="1" applyFill="1" applyBorder="1" applyProtection="1"/>
    <xf numFmtId="0" fontId="21" fillId="0" borderId="0" xfId="10" applyFont="1" applyFill="1" applyBorder="1" applyProtection="1"/>
    <xf numFmtId="177" fontId="21" fillId="0" borderId="0" xfId="10" applyNumberFormat="1" applyFont="1" applyFill="1" applyBorder="1" applyProtection="1"/>
    <xf numFmtId="171" fontId="12" fillId="0" borderId="0" xfId="10" applyNumberFormat="1" applyFont="1" applyFill="1" applyBorder="1" applyProtection="1"/>
    <xf numFmtId="168" fontId="0" fillId="0" borderId="0" xfId="0" applyNumberFormat="1" applyFill="1"/>
    <xf numFmtId="0" fontId="48" fillId="6" borderId="0" xfId="3" applyFont="1" applyFill="1" applyAlignment="1" applyProtection="1"/>
    <xf numFmtId="37" fontId="1" fillId="0" borderId="0" xfId="10" applyNumberFormat="1" applyFont="1" applyFill="1" applyBorder="1" applyAlignment="1" applyProtection="1">
      <alignment horizontal="right"/>
    </xf>
    <xf numFmtId="0" fontId="64" fillId="0" borderId="0" xfId="10" applyFont="1" applyFill="1" applyBorder="1" applyProtection="1"/>
    <xf numFmtId="0" fontId="65" fillId="0" borderId="0" xfId="10" applyFont="1" applyFill="1" applyBorder="1" applyProtection="1"/>
    <xf numFmtId="0" fontId="66" fillId="0" borderId="0" xfId="10" applyFont="1" applyFill="1" applyBorder="1" applyProtection="1"/>
    <xf numFmtId="0" fontId="49" fillId="0" borderId="0" xfId="15" applyFont="1" applyFill="1" applyProtection="1"/>
    <xf numFmtId="0" fontId="12" fillId="0" borderId="0" xfId="0" applyFont="1"/>
    <xf numFmtId="0" fontId="64" fillId="0" borderId="0" xfId="10" applyFont="1" applyFill="1"/>
    <xf numFmtId="0" fontId="64" fillId="0" borderId="0" xfId="10" applyFont="1" applyFill="1" applyBorder="1" applyAlignment="1" applyProtection="1">
      <alignment horizontal="left"/>
    </xf>
    <xf numFmtId="0" fontId="12" fillId="0" borderId="0" xfId="10" applyFont="1" applyFill="1" applyBorder="1" applyAlignment="1" applyProtection="1">
      <alignment horizontal="left"/>
    </xf>
    <xf numFmtId="5" fontId="1" fillId="2" borderId="1" xfId="15" applyNumberFormat="1" applyFont="1" applyFill="1" applyBorder="1" applyAlignment="1" applyProtection="1">
      <alignment horizontal="right"/>
      <protection locked="0"/>
    </xf>
    <xf numFmtId="5" fontId="1" fillId="0" borderId="0" xfId="16" applyNumberFormat="1" applyFont="1" applyFill="1" applyBorder="1" applyAlignment="1" applyProtection="1">
      <alignment horizontal="right"/>
    </xf>
    <xf numFmtId="37" fontId="12" fillId="0" borderId="0" xfId="10" applyNumberFormat="1" applyFont="1" applyFill="1" applyBorder="1" applyAlignment="1" applyProtection="1">
      <alignment horizontal="right"/>
    </xf>
    <xf numFmtId="0" fontId="25" fillId="0" borderId="0" xfId="5" applyFont="1" applyProtection="1"/>
    <xf numFmtId="0" fontId="12" fillId="0" borderId="0" xfId="5" applyFont="1" applyProtection="1"/>
    <xf numFmtId="0" fontId="1" fillId="0" borderId="0" xfId="5" applyFont="1" applyAlignment="1" applyProtection="1">
      <alignment horizontal="left"/>
    </xf>
    <xf numFmtId="0" fontId="1" fillId="0" borderId="1" xfId="5" applyFont="1" applyBorder="1" applyProtection="1"/>
    <xf numFmtId="0" fontId="4" fillId="0" borderId="1" xfId="5" applyFont="1" applyBorder="1" applyProtection="1"/>
    <xf numFmtId="0" fontId="1" fillId="0" borderId="0" xfId="5" applyFont="1" applyBorder="1" applyProtection="1">
      <protection locked="0"/>
    </xf>
    <xf numFmtId="1" fontId="0" fillId="0" borderId="0" xfId="0" applyNumberFormat="1"/>
    <xf numFmtId="3" fontId="1" fillId="0" borderId="1" xfId="10" applyNumberFormat="1" applyFont="1" applyFill="1" applyBorder="1" applyAlignment="1" applyProtection="1">
      <alignment horizontal="right"/>
    </xf>
    <xf numFmtId="0" fontId="12" fillId="0" borderId="2" xfId="15" applyFont="1" applyFill="1" applyBorder="1" applyProtection="1"/>
    <xf numFmtId="0" fontId="12" fillId="0" borderId="0" xfId="9" applyFont="1" applyFill="1"/>
    <xf numFmtId="3" fontId="39" fillId="0" borderId="0" xfId="0" applyNumberFormat="1" applyFont="1" applyFill="1"/>
    <xf numFmtId="173" fontId="41" fillId="0" borderId="0" xfId="10" applyNumberFormat="1" applyFont="1" applyFill="1" applyBorder="1" applyProtection="1"/>
    <xf numFmtId="0" fontId="0" fillId="0" borderId="1" xfId="0" applyBorder="1"/>
    <xf numFmtId="3" fontId="12" fillId="0" borderId="1" xfId="0" applyNumberFormat="1" applyFont="1" applyBorder="1"/>
    <xf numFmtId="9" fontId="0" fillId="0" borderId="0" xfId="0" applyNumberFormat="1"/>
    <xf numFmtId="0" fontId="0" fillId="0" borderId="0" xfId="0" quotePrefix="1"/>
    <xf numFmtId="0" fontId="10" fillId="0" borderId="0" xfId="10" applyFont="1" applyFill="1" applyBorder="1" applyAlignment="1" applyProtection="1">
      <alignment horizontal="center"/>
    </xf>
    <xf numFmtId="0" fontId="10" fillId="0" borderId="0" xfId="10" applyFont="1" applyFill="1" applyBorder="1" applyAlignment="1" applyProtection="1"/>
    <xf numFmtId="174" fontId="12" fillId="0" borderId="1" xfId="10" applyNumberFormat="1" applyFont="1" applyFill="1" applyBorder="1" applyAlignment="1" applyProtection="1">
      <alignment horizontal="left"/>
    </xf>
    <xf numFmtId="2" fontId="0" fillId="0" borderId="1" xfId="0" applyNumberFormat="1" applyBorder="1" applyAlignment="1">
      <alignment horizontal="right"/>
    </xf>
    <xf numFmtId="2" fontId="0" fillId="0" borderId="1" xfId="0" applyNumberFormat="1" applyBorder="1" applyAlignment="1"/>
    <xf numFmtId="2" fontId="0" fillId="2" borderId="1" xfId="0" applyNumberFormat="1" applyFill="1" applyBorder="1" applyAlignment="1" applyProtection="1">
      <alignment horizontal="right"/>
      <protection locked="0"/>
    </xf>
    <xf numFmtId="0" fontId="64" fillId="0" borderId="0" xfId="0" applyFont="1"/>
    <xf numFmtId="2" fontId="0" fillId="0" borderId="0" xfId="0" applyNumberFormat="1" applyFill="1"/>
    <xf numFmtId="0" fontId="67" fillId="0" borderId="0" xfId="0" applyFont="1"/>
    <xf numFmtId="0" fontId="0" fillId="0" borderId="0" xfId="0" applyFill="1"/>
    <xf numFmtId="3" fontId="0" fillId="2" borderId="1" xfId="0" applyNumberFormat="1" applyFill="1" applyBorder="1" applyAlignment="1" applyProtection="1">
      <alignment horizontal="right"/>
      <protection locked="0"/>
    </xf>
    <xf numFmtId="173" fontId="68" fillId="0" borderId="0" xfId="10" applyNumberFormat="1" applyFont="1" applyFill="1" applyBorder="1" applyProtection="1"/>
    <xf numFmtId="0" fontId="69" fillId="0" borderId="0" xfId="0" applyFont="1"/>
    <xf numFmtId="0" fontId="69" fillId="0" borderId="0" xfId="0" applyFont="1" applyAlignment="1"/>
    <xf numFmtId="0" fontId="69" fillId="0" borderId="0" xfId="10" applyFont="1" applyFill="1" applyBorder="1" applyProtection="1"/>
    <xf numFmtId="0" fontId="64" fillId="0" borderId="0" xfId="9" applyFont="1" applyFill="1"/>
    <xf numFmtId="0" fontId="1" fillId="0" borderId="22" xfId="0" applyFont="1" applyFill="1" applyBorder="1" applyAlignment="1" applyProtection="1">
      <alignment horizontal="left"/>
    </xf>
    <xf numFmtId="0" fontId="12" fillId="2" borderId="1" xfId="0" applyFont="1" applyFill="1" applyBorder="1" applyProtection="1">
      <protection locked="0"/>
    </xf>
    <xf numFmtId="0" fontId="0" fillId="0" borderId="0" xfId="0" applyAlignment="1">
      <alignment horizontal="center"/>
    </xf>
    <xf numFmtId="0" fontId="0" fillId="7" borderId="0" xfId="0" applyFill="1" applyAlignment="1">
      <alignment horizontal="center"/>
    </xf>
    <xf numFmtId="168" fontId="0" fillId="7" borderId="0" xfId="0" applyNumberFormat="1" applyFill="1"/>
    <xf numFmtId="2" fontId="0" fillId="7" borderId="0" xfId="0" applyNumberFormat="1" applyFill="1"/>
    <xf numFmtId="0" fontId="70" fillId="0" borderId="0" xfId="15" applyFont="1" applyFill="1" applyProtection="1"/>
    <xf numFmtId="3" fontId="0" fillId="0" borderId="0" xfId="0" applyNumberFormat="1"/>
    <xf numFmtId="0" fontId="69" fillId="0" borderId="0" xfId="9" applyFont="1" applyFill="1"/>
    <xf numFmtId="0" fontId="69" fillId="0" borderId="0" xfId="9" applyFont="1" applyFill="1" applyAlignment="1">
      <alignment horizontal="center"/>
    </xf>
    <xf numFmtId="0" fontId="71" fillId="0" borderId="0" xfId="0" applyFont="1" applyFill="1" applyAlignment="1">
      <alignment horizontal="center"/>
    </xf>
    <xf numFmtId="2" fontId="71" fillId="0" borderId="0" xfId="0" applyNumberFormat="1" applyFont="1"/>
    <xf numFmtId="0" fontId="69" fillId="0" borderId="0" xfId="10" applyFont="1" applyFill="1" applyBorder="1" applyAlignment="1" applyProtection="1">
      <alignment horizontal="centerContinuous"/>
    </xf>
    <xf numFmtId="14" fontId="69" fillId="0" borderId="0" xfId="10" applyNumberFormat="1" applyFont="1" applyFill="1" applyBorder="1" applyAlignment="1" applyProtection="1">
      <alignment horizontal="centerContinuous"/>
    </xf>
    <xf numFmtId="0" fontId="71" fillId="0" borderId="0" xfId="0" applyFont="1" applyFill="1" applyAlignment="1" applyProtection="1">
      <alignment horizontal="center"/>
      <protection locked="0"/>
    </xf>
    <xf numFmtId="168" fontId="71" fillId="0" borderId="0" xfId="0" applyNumberFormat="1" applyFont="1"/>
    <xf numFmtId="0" fontId="69" fillId="0" borderId="0" xfId="10" applyFont="1" applyFill="1"/>
    <xf numFmtId="14" fontId="69" fillId="0" borderId="0" xfId="0" applyNumberFormat="1" applyFont="1" applyFill="1" applyAlignment="1"/>
    <xf numFmtId="0" fontId="69" fillId="0" borderId="0" xfId="0" applyFont="1" applyFill="1" applyAlignment="1"/>
    <xf numFmtId="49" fontId="69" fillId="0" borderId="22" xfId="0" applyNumberFormat="1" applyFont="1" applyFill="1" applyBorder="1" applyAlignment="1">
      <alignment horizontal="center"/>
    </xf>
    <xf numFmtId="0" fontId="69" fillId="0" borderId="0" xfId="0" applyFont="1" applyFill="1" applyAlignment="1">
      <alignment horizontal="center"/>
    </xf>
    <xf numFmtId="3" fontId="55" fillId="0" borderId="0" xfId="0" applyNumberFormat="1" applyFont="1" applyFill="1" applyAlignment="1" applyProtection="1">
      <alignment horizontal="center"/>
      <protection locked="0"/>
    </xf>
    <xf numFmtId="14" fontId="72" fillId="0" borderId="0" xfId="10" applyNumberFormat="1" applyFont="1" applyFill="1" applyBorder="1" applyProtection="1"/>
    <xf numFmtId="3" fontId="0" fillId="0" borderId="0" xfId="0" applyNumberFormat="1" applyFill="1"/>
    <xf numFmtId="1" fontId="0" fillId="0" borderId="0" xfId="0" applyNumberFormat="1" applyFill="1"/>
    <xf numFmtId="0" fontId="0" fillId="0" borderId="0" xfId="0" applyFill="1" applyAlignment="1">
      <alignment horizontal="center"/>
    </xf>
    <xf numFmtId="0" fontId="39" fillId="0" borderId="0" xfId="0" applyFont="1" applyFill="1" applyAlignment="1" applyProtection="1">
      <alignment horizontal="right"/>
      <protection locked="0"/>
    </xf>
    <xf numFmtId="0" fontId="56" fillId="0" borderId="0" xfId="9" applyFont="1" applyFill="1"/>
    <xf numFmtId="14" fontId="69" fillId="0" borderId="0" xfId="15" applyNumberFormat="1" applyFont="1" applyFill="1" applyProtection="1"/>
    <xf numFmtId="0" fontId="0" fillId="5" borderId="0" xfId="0" applyFill="1" applyAlignment="1">
      <alignment horizontal="center"/>
    </xf>
    <xf numFmtId="168" fontId="0" fillId="5" borderId="0" xfId="0" applyNumberFormat="1" applyFill="1"/>
    <xf numFmtId="2" fontId="0" fillId="5" borderId="0" xfId="0" applyNumberFormat="1" applyFill="1"/>
    <xf numFmtId="0" fontId="73" fillId="0" borderId="0" xfId="7" applyFont="1" applyAlignment="1" applyProtection="1">
      <alignment horizontal="left"/>
    </xf>
    <xf numFmtId="165" fontId="1" fillId="0" borderId="0" xfId="13" applyNumberFormat="1" applyFont="1" applyFill="1" applyBorder="1" applyAlignment="1" applyProtection="1">
      <alignment horizontal="center"/>
    </xf>
    <xf numFmtId="0" fontId="4" fillId="0" borderId="0" xfId="13" applyFont="1" applyFill="1" applyBorder="1" applyProtection="1"/>
    <xf numFmtId="0" fontId="1" fillId="0" borderId="0" xfId="13" applyFont="1" applyFill="1" applyBorder="1" applyAlignment="1" applyProtection="1">
      <alignment horizontal="center"/>
    </xf>
    <xf numFmtId="3" fontId="0" fillId="2" borderId="19" xfId="0" applyNumberFormat="1" applyFill="1" applyBorder="1" applyProtection="1">
      <protection locked="0"/>
    </xf>
    <xf numFmtId="3" fontId="12" fillId="2" borderId="23" xfId="0" applyNumberFormat="1" applyFont="1" applyFill="1" applyBorder="1" applyProtection="1">
      <protection locked="0"/>
    </xf>
    <xf numFmtId="0" fontId="0" fillId="0" borderId="0" xfId="0" applyProtection="1"/>
    <xf numFmtId="0" fontId="12" fillId="0" borderId="0" xfId="0" quotePrefix="1" applyFont="1" applyProtection="1"/>
    <xf numFmtId="0" fontId="12" fillId="0" borderId="0" xfId="0" applyFont="1" applyProtection="1"/>
    <xf numFmtId="0" fontId="12" fillId="0" borderId="20" xfId="0" applyFont="1" applyBorder="1" applyAlignment="1" applyProtection="1">
      <alignment horizontal="center"/>
    </xf>
    <xf numFmtId="0" fontId="12" fillId="0" borderId="19" xfId="0" applyFont="1" applyBorder="1" applyAlignment="1" applyProtection="1">
      <alignment horizontal="center"/>
    </xf>
    <xf numFmtId="0" fontId="12" fillId="0" borderId="19" xfId="0" applyFont="1" applyBorder="1" applyAlignment="1" applyProtection="1">
      <alignment horizontal="center" wrapText="1"/>
    </xf>
    <xf numFmtId="0" fontId="12" fillId="0" borderId="19" xfId="0" applyFont="1" applyBorder="1" applyAlignment="1" applyProtection="1">
      <alignment horizontal="center" vertical="center"/>
    </xf>
    <xf numFmtId="0" fontId="12" fillId="0" borderId="19" xfId="0" applyFont="1" applyBorder="1" applyProtection="1"/>
    <xf numFmtId="3" fontId="0" fillId="0" borderId="19" xfId="0" applyNumberFormat="1" applyBorder="1" applyProtection="1"/>
    <xf numFmtId="0" fontId="12" fillId="0" borderId="19" xfId="0" applyFont="1" applyBorder="1" applyAlignment="1" applyProtection="1">
      <alignment horizontal="left" wrapText="1"/>
    </xf>
    <xf numFmtId="3" fontId="12" fillId="0" borderId="23" xfId="0" applyNumberFormat="1" applyFont="1" applyBorder="1" applyProtection="1"/>
    <xf numFmtId="3" fontId="0" fillId="0" borderId="23" xfId="0" applyNumberFormat="1" applyBorder="1" applyProtection="1"/>
    <xf numFmtId="0" fontId="10" fillId="0" borderId="19" xfId="0" applyFont="1" applyBorder="1" applyAlignment="1" applyProtection="1">
      <alignment horizontal="right"/>
    </xf>
    <xf numFmtId="173" fontId="0" fillId="0" borderId="12" xfId="0" applyNumberFormat="1" applyBorder="1" applyProtection="1"/>
    <xf numFmtId="0" fontId="0" fillId="0" borderId="0" xfId="0" applyBorder="1" applyProtection="1"/>
    <xf numFmtId="0" fontId="12" fillId="0" borderId="0" xfId="0" applyFont="1" applyFill="1" applyBorder="1" applyProtection="1"/>
    <xf numFmtId="0" fontId="12" fillId="0" borderId="0" xfId="0" applyFont="1" applyAlignment="1" applyProtection="1">
      <alignment horizontal="right"/>
    </xf>
    <xf numFmtId="1" fontId="0" fillId="0" borderId="1" xfId="0" applyNumberFormat="1" applyBorder="1" applyProtection="1"/>
    <xf numFmtId="0" fontId="12" fillId="0" borderId="0" xfId="0" quotePrefix="1" applyFont="1" applyBorder="1" applyAlignment="1" applyProtection="1">
      <alignment horizontal="right"/>
    </xf>
    <xf numFmtId="0" fontId="0" fillId="0" borderId="1" xfId="0" applyBorder="1" applyProtection="1"/>
    <xf numFmtId="0" fontId="26" fillId="0" borderId="0" xfId="0" applyFont="1" applyProtection="1"/>
    <xf numFmtId="0" fontId="0" fillId="0" borderId="4" xfId="0" applyBorder="1" applyProtection="1"/>
    <xf numFmtId="0" fontId="0" fillId="0" borderId="8" xfId="0" applyBorder="1" applyProtection="1"/>
    <xf numFmtId="0" fontId="0" fillId="0" borderId="14" xfId="0" applyBorder="1" applyProtection="1"/>
    <xf numFmtId="0" fontId="0" fillId="0" borderId="0" xfId="0" applyAlignment="1" applyProtection="1">
      <alignment horizontal="right"/>
    </xf>
    <xf numFmtId="0" fontId="0" fillId="0" borderId="0" xfId="0" applyAlignment="1" applyProtection="1">
      <alignment horizontal="left"/>
    </xf>
    <xf numFmtId="0" fontId="12" fillId="0" borderId="0" xfId="6" applyFont="1" applyFill="1" applyBorder="1" applyAlignment="1" applyProtection="1">
      <alignment vertical="top"/>
    </xf>
    <xf numFmtId="0" fontId="0" fillId="0" borderId="0" xfId="0" applyFont="1" applyFill="1" applyBorder="1" applyProtection="1"/>
    <xf numFmtId="49" fontId="0" fillId="0" borderId="0" xfId="0" applyNumberFormat="1" applyFont="1" applyFill="1" applyBorder="1" applyAlignment="1" applyProtection="1">
      <alignment horizontal="center"/>
    </xf>
    <xf numFmtId="49" fontId="12" fillId="0" borderId="19" xfId="0" applyNumberFormat="1" applyFont="1" applyFill="1" applyBorder="1" applyProtection="1"/>
    <xf numFmtId="0" fontId="12" fillId="0" borderId="19" xfId="0" applyNumberFormat="1" applyFont="1" applyFill="1" applyBorder="1" applyAlignment="1" applyProtection="1">
      <alignment horizontal="center"/>
    </xf>
    <xf numFmtId="3" fontId="0" fillId="0" borderId="19" xfId="0" applyNumberFormat="1" applyFont="1" applyFill="1" applyBorder="1" applyProtection="1"/>
    <xf numFmtId="3" fontId="0" fillId="0" borderId="19" xfId="0" applyNumberFormat="1" applyFont="1" applyFill="1" applyBorder="1" applyAlignment="1" applyProtection="1">
      <alignment horizontal="right"/>
    </xf>
    <xf numFmtId="0" fontId="12" fillId="0" borderId="19" xfId="0" applyFont="1" applyFill="1" applyBorder="1" applyProtection="1"/>
    <xf numFmtId="0" fontId="12" fillId="0" borderId="19" xfId="0" applyFont="1" applyFill="1" applyBorder="1" applyAlignment="1" applyProtection="1">
      <alignment horizontal="center"/>
    </xf>
    <xf numFmtId="3" fontId="0" fillId="0" borderId="0" xfId="0" applyNumberFormat="1" applyFont="1" applyFill="1" applyBorder="1" applyProtection="1"/>
    <xf numFmtId="0" fontId="0" fillId="0" borderId="19" xfId="0" applyFont="1" applyFill="1" applyBorder="1" applyProtection="1"/>
    <xf numFmtId="0" fontId="12" fillId="8" borderId="19" xfId="0" applyFont="1" applyFill="1" applyBorder="1" applyProtection="1"/>
    <xf numFmtId="0" fontId="12" fillId="8" borderId="19" xfId="0" applyFont="1" applyFill="1" applyBorder="1" applyAlignment="1" applyProtection="1">
      <alignment horizontal="center"/>
    </xf>
    <xf numFmtId="0" fontId="10" fillId="0" borderId="19" xfId="0" applyFont="1" applyFill="1" applyBorder="1" applyProtection="1"/>
    <xf numFmtId="0" fontId="10" fillId="0" borderId="19" xfId="0" applyFont="1" applyFill="1" applyBorder="1" applyAlignment="1" applyProtection="1">
      <alignment horizontal="center"/>
    </xf>
    <xf numFmtId="0" fontId="0" fillId="0" borderId="19" xfId="0" applyFont="1" applyFill="1" applyBorder="1" applyAlignment="1" applyProtection="1">
      <alignment horizontal="right"/>
    </xf>
    <xf numFmtId="0" fontId="26" fillId="0" borderId="0" xfId="0" applyFont="1" applyFill="1" applyBorder="1" applyProtection="1"/>
    <xf numFmtId="0" fontId="0" fillId="0" borderId="0" xfId="0" applyFont="1" applyFill="1" applyBorder="1" applyAlignment="1" applyProtection="1">
      <alignment horizontal="center"/>
    </xf>
    <xf numFmtId="173" fontId="0" fillId="0" borderId="1" xfId="0" applyNumberFormat="1" applyFill="1" applyBorder="1" applyAlignment="1" applyProtection="1">
      <alignment horizontal="right"/>
    </xf>
    <xf numFmtId="173" fontId="0" fillId="0" borderId="1" xfId="0" applyNumberFormat="1" applyBorder="1" applyAlignment="1" applyProtection="1">
      <alignment horizontal="right"/>
    </xf>
    <xf numFmtId="0" fontId="12" fillId="0" borderId="0" xfId="10" quotePrefix="1" applyFont="1" applyFill="1" applyBorder="1" applyProtection="1"/>
    <xf numFmtId="14" fontId="64" fillId="0" borderId="0" xfId="10" applyNumberFormat="1" applyFont="1" applyFill="1" applyBorder="1" applyProtection="1"/>
    <xf numFmtId="14" fontId="64" fillId="0" borderId="0" xfId="10" applyNumberFormat="1" applyFont="1" applyFill="1" applyBorder="1" applyAlignment="1" applyProtection="1">
      <alignment horizontal="center"/>
    </xf>
    <xf numFmtId="173" fontId="0" fillId="0" borderId="0" xfId="0" applyNumberFormat="1" applyBorder="1" applyAlignment="1" applyProtection="1">
      <alignment horizontal="right"/>
    </xf>
    <xf numFmtId="0" fontId="34" fillId="0" borderId="0" xfId="0" applyFont="1" applyProtection="1"/>
    <xf numFmtId="0" fontId="0" fillId="0" borderId="3" xfId="0" applyBorder="1" applyProtection="1"/>
    <xf numFmtId="1" fontId="12" fillId="0" borderId="0" xfId="0" applyNumberFormat="1" applyFont="1" applyBorder="1" applyAlignment="1" applyProtection="1">
      <alignment horizontal="right"/>
    </xf>
    <xf numFmtId="173" fontId="0" fillId="0" borderId="0" xfId="0" applyNumberFormat="1" applyFill="1" applyBorder="1" applyAlignment="1" applyProtection="1">
      <alignment horizontal="right"/>
    </xf>
    <xf numFmtId="0" fontId="0" fillId="0" borderId="0" xfId="0" applyFill="1" applyBorder="1" applyAlignment="1" applyProtection="1">
      <alignment horizontal="right"/>
    </xf>
    <xf numFmtId="0" fontId="64" fillId="0" borderId="0" xfId="0" applyFont="1" applyBorder="1" applyProtection="1"/>
    <xf numFmtId="3" fontId="12" fillId="0" borderId="19" xfId="0" applyNumberFormat="1" applyFont="1" applyBorder="1" applyProtection="1"/>
    <xf numFmtId="0" fontId="26" fillId="0" borderId="7" xfId="0" applyFont="1" applyBorder="1" applyProtection="1"/>
    <xf numFmtId="0" fontId="26" fillId="0" borderId="13" xfId="0" applyFont="1" applyBorder="1" applyProtection="1"/>
    <xf numFmtId="0" fontId="10" fillId="0" borderId="0" xfId="0" applyFont="1" applyBorder="1" applyAlignment="1" applyProtection="1">
      <alignment horizontal="center"/>
    </xf>
    <xf numFmtId="0" fontId="12" fillId="0" borderId="0" xfId="0" applyFont="1" applyBorder="1" applyAlignment="1" applyProtection="1">
      <alignment horizontal="center"/>
    </xf>
    <xf numFmtId="0" fontId="0" fillId="0" borderId="0" xfId="0" applyBorder="1" applyAlignment="1" applyProtection="1">
      <alignment horizontal="center"/>
    </xf>
    <xf numFmtId="173" fontId="0" fillId="0" borderId="0" xfId="0" applyNumberFormat="1" applyBorder="1" applyProtection="1"/>
    <xf numFmtId="3" fontId="74" fillId="0" borderId="0" xfId="0" applyNumberFormat="1" applyFont="1" applyBorder="1" applyProtection="1"/>
    <xf numFmtId="2" fontId="12" fillId="0" borderId="0" xfId="10" applyNumberFormat="1" applyFont="1" applyFill="1"/>
    <xf numFmtId="14" fontId="75" fillId="0" borderId="0" xfId="0" applyNumberFormat="1" applyFont="1"/>
    <xf numFmtId="168" fontId="39" fillId="0" borderId="0" xfId="0" applyNumberFormat="1" applyFont="1" applyFill="1"/>
    <xf numFmtId="0" fontId="0" fillId="0" borderId="0" xfId="0" applyFont="1" applyFill="1" applyBorder="1" applyAlignment="1" applyProtection="1">
      <alignment horizontal="left"/>
    </xf>
    <xf numFmtId="0" fontId="1" fillId="0" borderId="0" xfId="5" applyFont="1" applyAlignment="1" applyProtection="1">
      <alignment horizontal="center"/>
    </xf>
    <xf numFmtId="0" fontId="43" fillId="5" borderId="0" xfId="0" applyFont="1" applyFill="1"/>
    <xf numFmtId="0" fontId="12" fillId="5" borderId="0" xfId="0" applyFont="1" applyFill="1"/>
    <xf numFmtId="0" fontId="44" fillId="5" borderId="0" xfId="0" applyFont="1" applyFill="1"/>
    <xf numFmtId="0" fontId="19" fillId="9" borderId="0" xfId="0" applyFont="1" applyFill="1"/>
    <xf numFmtId="0" fontId="0" fillId="9" borderId="0" xfId="0" applyFill="1"/>
    <xf numFmtId="0" fontId="0" fillId="9" borderId="0" xfId="0" applyFill="1" applyAlignment="1">
      <alignment horizontal="right"/>
    </xf>
    <xf numFmtId="0" fontId="58" fillId="9" borderId="0" xfId="0" applyFont="1" applyFill="1" applyProtection="1"/>
    <xf numFmtId="0" fontId="0" fillId="9" borderId="0" xfId="0" applyFill="1" applyProtection="1"/>
    <xf numFmtId="0" fontId="0" fillId="2" borderId="0" xfId="0" applyFill="1" applyProtection="1">
      <protection locked="0"/>
    </xf>
    <xf numFmtId="49" fontId="0" fillId="2" borderId="0" xfId="0" applyNumberFormat="1" applyFill="1" applyProtection="1">
      <protection locked="0"/>
    </xf>
    <xf numFmtId="0" fontId="12" fillId="2" borderId="0" xfId="0" applyFont="1" applyFill="1" applyProtection="1">
      <protection locked="0"/>
    </xf>
    <xf numFmtId="0" fontId="12" fillId="9" borderId="0" xfId="0" applyFont="1" applyFill="1"/>
    <xf numFmtId="49" fontId="12" fillId="2" borderId="0" xfId="0" applyNumberFormat="1" applyFont="1" applyFill="1" applyProtection="1">
      <protection locked="0"/>
    </xf>
    <xf numFmtId="0" fontId="0" fillId="10" borderId="0" xfId="0" applyFill="1"/>
    <xf numFmtId="0" fontId="19" fillId="10" borderId="0" xfId="0" applyFont="1" applyFill="1"/>
    <xf numFmtId="0" fontId="0" fillId="10" borderId="0" xfId="0" applyFill="1" applyAlignment="1">
      <alignment horizontal="right"/>
    </xf>
    <xf numFmtId="213" fontId="0" fillId="2" borderId="0" xfId="0" applyNumberFormat="1" applyFill="1" applyProtection="1">
      <protection locked="0"/>
    </xf>
    <xf numFmtId="0" fontId="12" fillId="10" borderId="0" xfId="0" applyFont="1" applyFill="1"/>
    <xf numFmtId="0" fontId="0" fillId="0" borderId="24" xfId="0" applyBorder="1"/>
    <xf numFmtId="0" fontId="0" fillId="0" borderId="25" xfId="0" applyBorder="1"/>
    <xf numFmtId="0" fontId="0" fillId="0" borderId="26" xfId="0" applyBorder="1"/>
    <xf numFmtId="0" fontId="0" fillId="0" borderId="27" xfId="0" applyBorder="1"/>
    <xf numFmtId="0" fontId="0" fillId="0" borderId="0" xfId="0" applyBorder="1"/>
    <xf numFmtId="0" fontId="0" fillId="0" borderId="28" xfId="0" applyBorder="1"/>
    <xf numFmtId="0" fontId="0" fillId="11" borderId="27" xfId="0" applyFill="1" applyBorder="1"/>
    <xf numFmtId="0" fontId="0" fillId="11" borderId="0" xfId="0" applyFill="1" applyBorder="1"/>
    <xf numFmtId="0" fontId="0" fillId="11" borderId="28" xfId="0" applyFill="1" applyBorder="1"/>
    <xf numFmtId="0" fontId="60" fillId="11" borderId="0" xfId="0" applyFont="1" applyFill="1" applyBorder="1"/>
    <xf numFmtId="0" fontId="15" fillId="11" borderId="0" xfId="0" applyFont="1" applyFill="1" applyBorder="1" applyAlignment="1">
      <alignment horizontal="right"/>
    </xf>
    <xf numFmtId="0" fontId="6" fillId="11" borderId="0" xfId="0" applyFont="1" applyFill="1" applyBorder="1" applyAlignment="1">
      <alignment horizontal="left"/>
    </xf>
    <xf numFmtId="0" fontId="20" fillId="0" borderId="0" xfId="0" applyFont="1"/>
    <xf numFmtId="0" fontId="61" fillId="5" borderId="0" xfId="0" applyFont="1" applyFill="1"/>
    <xf numFmtId="0" fontId="0" fillId="5" borderId="0" xfId="0" applyFill="1"/>
    <xf numFmtId="0" fontId="16" fillId="0" borderId="0" xfId="0" applyFont="1"/>
    <xf numFmtId="0" fontId="63" fillId="5" borderId="0" xfId="0" applyFont="1" applyFill="1"/>
    <xf numFmtId="0" fontId="16" fillId="5" borderId="0" xfId="0" applyFont="1" applyFill="1"/>
    <xf numFmtId="0" fontId="0" fillId="0" borderId="29" xfId="0" applyBorder="1"/>
    <xf numFmtId="0" fontId="0" fillId="0" borderId="22" xfId="0" applyBorder="1"/>
    <xf numFmtId="0" fontId="0" fillId="0" borderId="30" xfId="0" applyBorder="1"/>
    <xf numFmtId="0" fontId="0" fillId="12" borderId="0" xfId="0" applyFill="1"/>
    <xf numFmtId="0" fontId="0" fillId="0" borderId="0" xfId="0" applyAlignment="1">
      <alignment horizontal="right"/>
    </xf>
    <xf numFmtId="0" fontId="0" fillId="0" borderId="0" xfId="0" applyAlignment="1">
      <alignment horizontal="left"/>
    </xf>
    <xf numFmtId="0" fontId="0" fillId="0" borderId="19" xfId="0" applyBorder="1"/>
    <xf numFmtId="171" fontId="0" fillId="2" borderId="19" xfId="0" applyNumberFormat="1" applyFill="1" applyBorder="1" applyProtection="1">
      <protection locked="0"/>
    </xf>
    <xf numFmtId="3" fontId="0" fillId="0" borderId="19" xfId="0" applyNumberFormat="1" applyBorder="1"/>
    <xf numFmtId="0" fontId="10" fillId="0" borderId="22" xfId="0" applyFont="1" applyBorder="1"/>
    <xf numFmtId="0" fontId="0" fillId="0" borderId="22" xfId="0" applyBorder="1" applyAlignment="1">
      <alignment horizontal="right"/>
    </xf>
    <xf numFmtId="0" fontId="0" fillId="0" borderId="0" xfId="0" applyBorder="1" applyAlignment="1">
      <alignment horizontal="right"/>
    </xf>
    <xf numFmtId="0" fontId="0" fillId="0" borderId="0" xfId="0" applyFill="1" applyBorder="1"/>
    <xf numFmtId="0" fontId="0" fillId="0" borderId="22" xfId="0" applyFill="1" applyBorder="1"/>
    <xf numFmtId="3" fontId="0" fillId="5" borderId="19" xfId="0" applyNumberFormat="1" applyFill="1" applyBorder="1" applyAlignment="1">
      <alignment horizontal="center"/>
    </xf>
    <xf numFmtId="171" fontId="0" fillId="5" borderId="19" xfId="0" applyNumberFormat="1" applyFill="1" applyBorder="1" applyAlignment="1" applyProtection="1">
      <alignment horizontal="center"/>
    </xf>
    <xf numFmtId="171" fontId="0" fillId="0" borderId="0" xfId="0" applyNumberFormat="1"/>
    <xf numFmtId="0" fontId="0" fillId="6" borderId="0" xfId="0" applyFill="1"/>
    <xf numFmtId="0" fontId="12" fillId="0" borderId="0" xfId="0" applyFont="1" applyFill="1" applyBorder="1" applyAlignment="1" applyProtection="1">
      <alignment horizontal="right"/>
    </xf>
    <xf numFmtId="3" fontId="74" fillId="0" borderId="0" xfId="0" applyNumberFormat="1" applyFont="1" applyFill="1" applyBorder="1" applyProtection="1"/>
    <xf numFmtId="0" fontId="0" fillId="0" borderId="0" xfId="0" quotePrefix="1" applyProtection="1"/>
    <xf numFmtId="3" fontId="64" fillId="0" borderId="0" xfId="0" applyNumberFormat="1" applyFont="1" applyFill="1" applyBorder="1" applyProtection="1"/>
    <xf numFmtId="0" fontId="64" fillId="0" borderId="0" xfId="0" applyFont="1" applyProtection="1"/>
    <xf numFmtId="0" fontId="12" fillId="2" borderId="1" xfId="0" applyFont="1" applyFill="1" applyBorder="1" applyAlignment="1" applyProtection="1">
      <alignment horizontal="right"/>
      <protection locked="0"/>
    </xf>
    <xf numFmtId="173" fontId="66" fillId="0" borderId="0" xfId="10" applyNumberFormat="1" applyFont="1" applyFill="1" applyBorder="1" applyProtection="1"/>
    <xf numFmtId="0" fontId="0" fillId="0" borderId="19" xfId="0" applyBorder="1" applyAlignment="1" applyProtection="1">
      <alignment horizontal="center" vertical="center"/>
    </xf>
    <xf numFmtId="0" fontId="0" fillId="0" borderId="0" xfId="10" applyFont="1" applyFill="1" applyBorder="1" applyProtection="1"/>
    <xf numFmtId="0" fontId="12" fillId="0" borderId="0" xfId="10" applyFont="1" applyFill="1" applyBorder="1" applyAlignment="1" applyProtection="1">
      <alignment horizontal="center"/>
    </xf>
    <xf numFmtId="0" fontId="35" fillId="6" borderId="0" xfId="0" applyFont="1" applyFill="1" applyAlignment="1">
      <alignment horizontal="center"/>
    </xf>
    <xf numFmtId="0" fontId="0" fillId="6" borderId="0" xfId="0" applyFill="1" applyAlignment="1">
      <alignment horizontal="center"/>
    </xf>
    <xf numFmtId="0" fontId="0" fillId="0" borderId="0" xfId="0" applyAlignment="1">
      <alignment horizontal="center"/>
    </xf>
    <xf numFmtId="49" fontId="59" fillId="11" borderId="0" xfId="0" applyNumberFormat="1" applyFont="1" applyFill="1" applyBorder="1" applyAlignment="1">
      <alignment horizontal="center" wrapText="1"/>
    </xf>
    <xf numFmtId="211" fontId="6" fillId="11" borderId="0" xfId="0" applyNumberFormat="1" applyFont="1" applyFill="1" applyBorder="1" applyAlignment="1" applyProtection="1">
      <alignment horizontal="left"/>
    </xf>
    <xf numFmtId="0" fontId="12" fillId="0" borderId="6" xfId="0" applyFont="1" applyBorder="1" applyAlignment="1" applyProtection="1">
      <alignment horizontal="center" vertical="center"/>
    </xf>
    <xf numFmtId="0" fontId="12" fillId="0" borderId="12" xfId="0" applyFont="1" applyBorder="1" applyAlignment="1" applyProtection="1">
      <alignment horizontal="center" vertical="center"/>
    </xf>
    <xf numFmtId="0" fontId="10" fillId="0" borderId="22" xfId="0" applyFont="1" applyBorder="1" applyAlignment="1" applyProtection="1">
      <alignment horizontal="center"/>
    </xf>
    <xf numFmtId="0" fontId="64" fillId="0" borderId="0" xfId="10" applyFont="1" applyFill="1" applyBorder="1" applyAlignment="1" applyProtection="1">
      <alignment horizontal="center"/>
    </xf>
    <xf numFmtId="0" fontId="1" fillId="5" borderId="0" xfId="10" applyFont="1" applyFill="1" applyBorder="1" applyAlignment="1" applyProtection="1">
      <alignment horizontal="center"/>
    </xf>
    <xf numFmtId="0" fontId="10" fillId="0" borderId="0" xfId="10" applyFont="1" applyFill="1" applyBorder="1" applyAlignment="1" applyProtection="1">
      <alignment horizontal="center"/>
    </xf>
    <xf numFmtId="0" fontId="16" fillId="0" borderId="0" xfId="0" applyFont="1" applyFill="1" applyBorder="1" applyAlignment="1">
      <alignment horizontal="center"/>
    </xf>
    <xf numFmtId="0" fontId="17" fillId="0" borderId="0" xfId="10" applyFont="1" applyFill="1" applyBorder="1" applyAlignment="1" applyProtection="1">
      <alignment horizontal="center"/>
    </xf>
    <xf numFmtId="0" fontId="69" fillId="0" borderId="0" xfId="0" applyFont="1" applyAlignment="1">
      <alignment horizontal="center"/>
    </xf>
    <xf numFmtId="0" fontId="1" fillId="0" borderId="0" xfId="14" applyFont="1" applyFill="1" applyAlignment="1" applyProtection="1">
      <alignment horizontal="center"/>
    </xf>
    <xf numFmtId="0" fontId="10" fillId="0" borderId="0" xfId="15" applyFont="1" applyFill="1" applyAlignment="1" applyProtection="1">
      <alignment horizontal="center"/>
    </xf>
    <xf numFmtId="0" fontId="1" fillId="0" borderId="0" xfId="5" applyFont="1" applyAlignment="1" applyProtection="1">
      <alignment horizontal="left" vertical="top"/>
    </xf>
    <xf numFmtId="0" fontId="10" fillId="0" borderId="0" xfId="5" applyFont="1" applyAlignment="1" applyProtection="1">
      <alignment horizontal="center"/>
    </xf>
    <xf numFmtId="0" fontId="10" fillId="0" borderId="0" xfId="5" applyFont="1" applyAlignment="1" applyProtection="1">
      <alignment horizontal="center"/>
      <protection locked="0"/>
    </xf>
    <xf numFmtId="0" fontId="1" fillId="0" borderId="0" xfId="5" applyFont="1" applyAlignment="1" applyProtection="1">
      <alignment horizontal="center"/>
    </xf>
    <xf numFmtId="0" fontId="10" fillId="0" borderId="0" xfId="0" applyFont="1" applyFill="1" applyBorder="1" applyAlignment="1" applyProtection="1">
      <alignment horizontal="center"/>
    </xf>
  </cellXfs>
  <cellStyles count="17">
    <cellStyle name="Comma [0]_f118" xfId="1"/>
    <cellStyle name="Comma [0]_f150" xfId="2"/>
    <cellStyle name="Hyperlink" xfId="3" builtinId="8"/>
    <cellStyle name="Normal" xfId="0" builtinId="0"/>
    <cellStyle name="Normal 2 4" xfId="4"/>
    <cellStyle name="Normal_amend" xfId="5"/>
    <cellStyle name="Normal_co99" xfId="6"/>
    <cellStyle name="Normal_f110" xfId="7"/>
    <cellStyle name="Normal_f118" xfId="8"/>
    <cellStyle name="Normal_f148" xfId="9"/>
    <cellStyle name="Normal_f150" xfId="10"/>
    <cellStyle name="Normal_f155" xfId="11"/>
    <cellStyle name="Normal_f162" xfId="12"/>
    <cellStyle name="Normal_f194" xfId="13"/>
    <cellStyle name="Normal_f195" xfId="14"/>
    <cellStyle name="Normal_f239" xfId="15"/>
    <cellStyle name="Normal_f241a" xfId="1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4848225</xdr:colOff>
      <xdr:row>1</xdr:row>
      <xdr:rowOff>152400</xdr:rowOff>
    </xdr:from>
    <xdr:to>
      <xdr:col>2</xdr:col>
      <xdr:colOff>962025</xdr:colOff>
      <xdr:row>13</xdr:row>
      <xdr:rowOff>152400</xdr:rowOff>
    </xdr:to>
    <xdr:sp macro="" textlink="">
      <xdr:nvSpPr>
        <xdr:cNvPr id="11265" name="Text Box 1"/>
        <xdr:cNvSpPr txBox="1">
          <a:spLocks noChangeArrowheads="1"/>
        </xdr:cNvSpPr>
      </xdr:nvSpPr>
      <xdr:spPr bwMode="auto">
        <a:xfrm>
          <a:off x="5076825" y="371475"/>
          <a:ext cx="2085975" cy="1133475"/>
        </a:xfrm>
        <a:prstGeom prst="rect">
          <a:avLst/>
        </a:prstGeom>
        <a:solidFill>
          <a:srgbClr val="C0C0C0"/>
        </a:solidFill>
        <a:ln w="9525">
          <a:no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To return to this page after clicking on a link:</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Locate the </a:t>
          </a:r>
          <a:r>
            <a:rPr lang="en-US" sz="1000" b="0" i="0" u="sng" strike="noStrike" baseline="0">
              <a:solidFill>
                <a:srgbClr val="0000D4"/>
              </a:solidFill>
              <a:latin typeface="Arial"/>
              <a:cs typeface="Arial"/>
            </a:rPr>
            <a:t>Return to Contents Page</a:t>
          </a:r>
          <a:r>
            <a:rPr lang="en-US" sz="1000" b="0" i="0" u="none" strike="noStrike" baseline="0">
              <a:solidFill>
                <a:srgbClr val="000000"/>
              </a:solidFill>
              <a:latin typeface="Arial"/>
              <a:cs typeface="Arial"/>
            </a:rPr>
            <a:t> link in the upper right-hand corner of each Form and click on it.</a:t>
          </a:r>
        </a:p>
      </xdr:txBody>
    </xdr:sp>
    <xdr:clientData/>
  </xdr:twoCellAnchor>
  <xdr:twoCellAnchor>
    <xdr:from>
      <xdr:col>1</xdr:col>
      <xdr:colOff>1638300</xdr:colOff>
      <xdr:row>20</xdr:row>
      <xdr:rowOff>152400</xdr:rowOff>
    </xdr:from>
    <xdr:to>
      <xdr:col>1</xdr:col>
      <xdr:colOff>2409825</xdr:colOff>
      <xdr:row>24</xdr:row>
      <xdr:rowOff>9525</xdr:rowOff>
    </xdr:to>
    <xdr:sp macro="" textlink="">
      <xdr:nvSpPr>
        <xdr:cNvPr id="3" name="Explosion 1 2"/>
        <xdr:cNvSpPr/>
      </xdr:nvSpPr>
      <xdr:spPr bwMode="auto">
        <a:xfrm>
          <a:off x="1876425" y="2809875"/>
          <a:ext cx="762000" cy="504825"/>
        </a:xfrm>
        <a:prstGeom prst="irregularSeal1">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100"/>
            <a:t> New!</a:t>
          </a:r>
        </a:p>
      </xdr:txBody>
    </xdr:sp>
    <xdr:clientData/>
  </xdr:twoCellAnchor>
  <xdr:twoCellAnchor>
    <xdr:from>
      <xdr:col>1</xdr:col>
      <xdr:colOff>2914650</xdr:colOff>
      <xdr:row>8</xdr:row>
      <xdr:rowOff>104775</xdr:rowOff>
    </xdr:from>
    <xdr:to>
      <xdr:col>1</xdr:col>
      <xdr:colOff>3667125</xdr:colOff>
      <xdr:row>11</xdr:row>
      <xdr:rowOff>133350</xdr:rowOff>
    </xdr:to>
    <xdr:sp macro="" textlink="">
      <xdr:nvSpPr>
        <xdr:cNvPr id="4" name="Explosion 1 3"/>
        <xdr:cNvSpPr/>
      </xdr:nvSpPr>
      <xdr:spPr bwMode="auto">
        <a:xfrm>
          <a:off x="3133725" y="828675"/>
          <a:ext cx="762000" cy="504825"/>
        </a:xfrm>
        <a:prstGeom prst="irregularSeal1">
          <a:avLst/>
        </a:prstGeom>
        <a:solidFill>
          <a:srgbClr val="FFFF00"/>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lang="en-US" sz="1100"/>
            <a:t> New!</a:t>
          </a:r>
        </a:p>
      </xdr:txBody>
    </xdr:sp>
    <xdr:clientData/>
  </xdr:twoCellAnchor>
  <xdr:twoCellAnchor>
    <xdr:from>
      <xdr:col>1</xdr:col>
      <xdr:colOff>2495550</xdr:colOff>
      <xdr:row>2</xdr:row>
      <xdr:rowOff>104775</xdr:rowOff>
    </xdr:from>
    <xdr:to>
      <xdr:col>1</xdr:col>
      <xdr:colOff>3733800</xdr:colOff>
      <xdr:row>6</xdr:row>
      <xdr:rowOff>133350</xdr:rowOff>
    </xdr:to>
    <xdr:sp macro="" textlink="">
      <xdr:nvSpPr>
        <xdr:cNvPr id="6" name="Left Arrow 5"/>
        <xdr:cNvSpPr/>
      </xdr:nvSpPr>
      <xdr:spPr>
        <a:xfrm>
          <a:off x="2724150" y="504825"/>
          <a:ext cx="1228725"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t>New Location!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114300</xdr:colOff>
      <xdr:row>14</xdr:row>
      <xdr:rowOff>38100</xdr:rowOff>
    </xdr:from>
    <xdr:to>
      <xdr:col>8</xdr:col>
      <xdr:colOff>342900</xdr:colOff>
      <xdr:row>19</xdr:row>
      <xdr:rowOff>104775</xdr:rowOff>
    </xdr:to>
    <xdr:sp macro="" textlink="">
      <xdr:nvSpPr>
        <xdr:cNvPr id="5" name="WordArt 1"/>
        <xdr:cNvSpPr>
          <a:spLocks noChangeArrowheads="1" noChangeShapeType="1" noTextEdit="1"/>
        </xdr:cNvSpPr>
      </xdr:nvSpPr>
      <xdr:spPr bwMode="auto">
        <a:xfrm>
          <a:off x="1095375" y="2305050"/>
          <a:ext cx="4000500" cy="876300"/>
        </a:xfrm>
        <a:prstGeom prst="rect">
          <a:avLst/>
        </a:prstGeom>
      </xdr:spPr>
      <xdr:txBody>
        <a:bodyPr wrap="none" fromWordArt="1">
          <a:prstTxWarp prst="textPlain">
            <a:avLst>
              <a:gd name="adj" fmla="val 50000"/>
            </a:avLst>
          </a:prstTxWarp>
        </a:bodyPr>
        <a:lstStyle/>
        <a:p>
          <a:pPr algn="ctr" rtl="0"/>
          <a:r>
            <a:rPr lang="en-US" sz="3600" b="1" kern="10" spc="720">
              <a:ln w="9525">
                <a:noFill/>
                <a:round/>
                <a:headEnd/>
                <a:tailEnd/>
              </a:ln>
              <a:solidFill>
                <a:srgbClr val="333399"/>
              </a:solidFill>
              <a:effectLst/>
              <a:latin typeface="Arial Narrow"/>
            </a:rPr>
            <a:t>Budget Certificate</a:t>
          </a:r>
        </a:p>
        <a:p>
          <a:pPr algn="ctr" rtl="0"/>
          <a:r>
            <a:rPr lang="en-US" sz="3600" b="1" kern="10" spc="720">
              <a:ln w="9525">
                <a:noFill/>
                <a:round/>
                <a:headEnd/>
                <a:tailEnd/>
              </a:ln>
              <a:solidFill>
                <a:srgbClr val="333399"/>
              </a:solidFill>
              <a:effectLst/>
              <a:latin typeface="Arial Narrow"/>
            </a:rPr>
            <a:t>2011-12 School Year</a:t>
          </a:r>
        </a:p>
      </xdr:txBody>
    </xdr:sp>
    <xdr:clientData/>
  </xdr:twoCellAnchor>
  <xdr:twoCellAnchor>
    <xdr:from>
      <xdr:col>0</xdr:col>
      <xdr:colOff>0</xdr:colOff>
      <xdr:row>0</xdr:row>
      <xdr:rowOff>0</xdr:rowOff>
    </xdr:from>
    <xdr:to>
      <xdr:col>10</xdr:col>
      <xdr:colOff>9525</xdr:colOff>
      <xdr:row>5</xdr:row>
      <xdr:rowOff>104775</xdr:rowOff>
    </xdr:to>
    <xdr:pic>
      <xdr:nvPicPr>
        <xdr:cNvPr id="22920" name="Picture 2" descr="bigflagpho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8868" r="19733" b="83395"/>
        <a:stretch>
          <a:fillRect/>
        </a:stretch>
      </xdr:blipFill>
      <xdr:spPr bwMode="auto">
        <a:xfrm>
          <a:off x="0" y="0"/>
          <a:ext cx="54768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42</xdr:row>
      <xdr:rowOff>57150</xdr:rowOff>
    </xdr:from>
    <xdr:to>
      <xdr:col>10</xdr:col>
      <xdr:colOff>0</xdr:colOff>
      <xdr:row>49</xdr:row>
      <xdr:rowOff>9525</xdr:rowOff>
    </xdr:to>
    <xdr:pic>
      <xdr:nvPicPr>
        <xdr:cNvPr id="22921" name="Picture 3" descr="bigflagphot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420" t="82014" r="18291" b="7770"/>
        <a:stretch>
          <a:fillRect/>
        </a:stretch>
      </xdr:blipFill>
      <xdr:spPr bwMode="auto">
        <a:xfrm>
          <a:off x="0" y="7515225"/>
          <a:ext cx="546735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95250</xdr:colOff>
      <xdr:row>8</xdr:row>
      <xdr:rowOff>104775</xdr:rowOff>
    </xdr:from>
    <xdr:to>
      <xdr:col>1</xdr:col>
      <xdr:colOff>609600</xdr:colOff>
      <xdr:row>11</xdr:row>
      <xdr:rowOff>171450</xdr:rowOff>
    </xdr:to>
    <xdr:pic macro="[1]!F110_help">
      <xdr:nvPicPr>
        <xdr:cNvPr id="24624" name="Picture 6" descr="helpbutt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1209675"/>
          <a:ext cx="5143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161925</xdr:colOff>
      <xdr:row>5</xdr:row>
      <xdr:rowOff>38100</xdr:rowOff>
    </xdr:from>
    <xdr:to>
      <xdr:col>0</xdr:col>
      <xdr:colOff>609600</xdr:colOff>
      <xdr:row>7</xdr:row>
      <xdr:rowOff>66675</xdr:rowOff>
    </xdr:to>
    <xdr:pic macro="[1]!F148_help">
      <xdr:nvPicPr>
        <xdr:cNvPr id="27692" name="Picture 2" descr="helpbutt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847725"/>
          <a:ext cx="4476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5.xml><?xml version="1.0" encoding="utf-8"?>
<xdr:wsDr xmlns:xdr="http://schemas.openxmlformats.org/drawingml/2006/spreadsheetDrawing" xmlns:a="http://schemas.openxmlformats.org/drawingml/2006/main">
  <xdr:twoCellAnchor editAs="absolute">
    <xdr:from>
      <xdr:col>1</xdr:col>
      <xdr:colOff>66675</xdr:colOff>
      <xdr:row>3</xdr:row>
      <xdr:rowOff>0</xdr:rowOff>
    </xdr:from>
    <xdr:to>
      <xdr:col>1</xdr:col>
      <xdr:colOff>552450</xdr:colOff>
      <xdr:row>5</xdr:row>
      <xdr:rowOff>142875</xdr:rowOff>
    </xdr:to>
    <xdr:pic macro="[1]!F194_help">
      <xdr:nvPicPr>
        <xdr:cNvPr id="25646" name="Picture 2" descr="helpbutt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325" y="542925"/>
          <a:ext cx="4857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0</xdr:col>
      <xdr:colOff>276225</xdr:colOff>
      <xdr:row>2</xdr:row>
      <xdr:rowOff>142875</xdr:rowOff>
    </xdr:from>
    <xdr:to>
      <xdr:col>1</xdr:col>
      <xdr:colOff>152400</xdr:colOff>
      <xdr:row>6</xdr:row>
      <xdr:rowOff>66675</xdr:rowOff>
    </xdr:to>
    <xdr:pic macro="[1]!F239_help">
      <xdr:nvPicPr>
        <xdr:cNvPr id="26670" name="Picture 2" descr="helpbutt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5238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0</xdr:col>
      <xdr:colOff>276225</xdr:colOff>
      <xdr:row>2</xdr:row>
      <xdr:rowOff>161925</xdr:rowOff>
    </xdr:from>
    <xdr:to>
      <xdr:col>1</xdr:col>
      <xdr:colOff>209550</xdr:colOff>
      <xdr:row>5</xdr:row>
      <xdr:rowOff>76200</xdr:rowOff>
    </xdr:to>
    <xdr:pic macro="[1]!F241a_help">
      <xdr:nvPicPr>
        <xdr:cNvPr id="28716" name="Picture 2" descr="helpbutt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54292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0</xdr:col>
      <xdr:colOff>219075</xdr:colOff>
      <xdr:row>3</xdr:row>
      <xdr:rowOff>28575</xdr:rowOff>
    </xdr:from>
    <xdr:to>
      <xdr:col>1</xdr:col>
      <xdr:colOff>123825</xdr:colOff>
      <xdr:row>5</xdr:row>
      <xdr:rowOff>133350</xdr:rowOff>
    </xdr:to>
    <xdr:pic macro="[1]!F250_help">
      <xdr:nvPicPr>
        <xdr:cNvPr id="29740" name="Picture 2" descr="helpbutt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523875"/>
          <a:ext cx="4476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0</xdr:col>
      <xdr:colOff>276225</xdr:colOff>
      <xdr:row>0</xdr:row>
      <xdr:rowOff>152400</xdr:rowOff>
    </xdr:from>
    <xdr:to>
      <xdr:col>0</xdr:col>
      <xdr:colOff>742950</xdr:colOff>
      <xdr:row>3</xdr:row>
      <xdr:rowOff>57150</xdr:rowOff>
    </xdr:to>
    <xdr:pic macro="[1]!Amend_help">
      <xdr:nvPicPr>
        <xdr:cNvPr id="30761" name="Picture 2" descr="helpbutto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152400"/>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7</xdr:col>
      <xdr:colOff>9525</xdr:colOff>
      <xdr:row>27</xdr:row>
      <xdr:rowOff>171450</xdr:rowOff>
    </xdr:from>
    <xdr:to>
      <xdr:col>10</xdr:col>
      <xdr:colOff>390525</xdr:colOff>
      <xdr:row>32</xdr:row>
      <xdr:rowOff>0</xdr:rowOff>
    </xdr:to>
    <xdr:sp macro="" textlink="">
      <xdr:nvSpPr>
        <xdr:cNvPr id="3" name="TextBox 2"/>
        <xdr:cNvSpPr txBox="1"/>
      </xdr:nvSpPr>
      <xdr:spPr>
        <a:xfrm>
          <a:off x="6791325" y="4229100"/>
          <a:ext cx="2667000" cy="7429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200">
              <a:latin typeface="Arial" pitchFamily="34" charset="0"/>
              <a:cs typeface="Arial" pitchFamily="34" charset="0"/>
            </a:rPr>
            <a:t>Fill in the headings by filling</a:t>
          </a:r>
          <a:r>
            <a:rPr lang="en-US" sz="1200" baseline="0">
              <a:latin typeface="Arial" pitchFamily="34" charset="0"/>
              <a:cs typeface="Arial" pitchFamily="34" charset="0"/>
            </a:rPr>
            <a:t> in the blanks on the </a:t>
          </a:r>
          <a:r>
            <a:rPr lang="en-US" sz="1200">
              <a:latin typeface="Arial" pitchFamily="34" charset="0"/>
              <a:cs typeface="Arial" pitchFamily="34" charset="0"/>
            </a:rPr>
            <a:t>Headings sheet of the FORMS file.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sparton\Local%20Settings\Temporary%20Internet%20Files\Content.Outlook\X88W8YSY\tool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sparton\Local%20Settings\Temporary%20Internet%20Files\Content.Outlook\X88W8YSY\Cod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Print_Funds"/>
      <sheetName val="Print_Forms"/>
      <sheetName val="Budget Help"/>
      <sheetName val="KSDE Contacts"/>
    </sheetNames>
    <definedNames>
      <definedName name="Amend_help"/>
      <definedName name="F110_help"/>
      <definedName name="F148_help"/>
      <definedName name="F194_help"/>
      <definedName name="F239_help"/>
      <definedName name="F241a_help"/>
      <definedName name="F250_help"/>
    </defined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PEN"/>
      <sheetName val="C01"/>
      <sheetName val="C02"/>
      <sheetName val="C04"/>
      <sheetName val="C05"/>
      <sheetName val="C05a"/>
      <sheetName val="C06"/>
      <sheetName val="C07"/>
      <sheetName val="C08"/>
      <sheetName val="C010"/>
      <sheetName val="C011"/>
      <sheetName val="C012"/>
      <sheetName val="C013"/>
      <sheetName val="C014"/>
      <sheetName val="C015"/>
      <sheetName val="C016"/>
      <sheetName val="C018"/>
      <sheetName val="C019"/>
      <sheetName val="C022"/>
      <sheetName val="C024"/>
      <sheetName val="C026"/>
      <sheetName val="C028"/>
      <sheetName val="C029"/>
      <sheetName val="C030"/>
      <sheetName val="C033"/>
      <sheetName val="C034"/>
      <sheetName val="C035"/>
      <sheetName val="C042"/>
      <sheetName val="C044"/>
      <sheetName val="C045"/>
      <sheetName val="C047"/>
      <sheetName val="C051"/>
      <sheetName val="C053"/>
      <sheetName val="C055"/>
      <sheetName val="C056"/>
      <sheetName val="C057"/>
      <sheetName val="C062"/>
      <sheetName val="C063"/>
      <sheetName val="C066"/>
      <sheetName val="C067"/>
      <sheetName val="C068"/>
      <sheetName val="C078"/>
      <sheetName val="C080"/>
      <sheetName val="C082"/>
      <sheetName val="C083"/>
      <sheetName val="C084"/>
      <sheetName val="C086"/>
      <sheetName val="CO99"/>
      <sheetName val="DATA"/>
    </sheetNames>
    <sheetDataSet>
      <sheetData sheetId="0"/>
      <sheetData sheetId="1">
        <row r="2">
          <cell r="N2" t="str">
            <v>2011-2012</v>
          </cell>
        </row>
        <row r="3">
          <cell r="B3" t="str">
            <v>395 - LaCrosse</v>
          </cell>
          <cell r="N3">
            <v>40664</v>
          </cell>
        </row>
        <row r="4">
          <cell r="B4">
            <v>395</v>
          </cell>
          <cell r="N4" t="str">
            <v>2009-2010</v>
          </cell>
          <cell r="O4" t="str">
            <v>2010-2011</v>
          </cell>
          <cell r="P4" t="str">
            <v>2011-2012</v>
          </cell>
        </row>
        <row r="5">
          <cell r="B5" t="str">
            <v>Rush</v>
          </cell>
          <cell r="O5">
            <v>2009</v>
          </cell>
          <cell r="P5">
            <v>2010</v>
          </cell>
          <cell r="Q5">
            <v>2011</v>
          </cell>
          <cell r="S5">
            <v>2012</v>
          </cell>
          <cell r="U5">
            <v>2013</v>
          </cell>
        </row>
        <row r="8">
          <cell r="S8" t="str">
            <v>Jan. 20, 2012</v>
          </cell>
          <cell r="T8" t="str">
            <v>Sept. 20, 2012</v>
          </cell>
        </row>
        <row r="9">
          <cell r="S9" t="str">
            <v>Mar. 20, 2012</v>
          </cell>
          <cell r="T9" t="str">
            <v>Oct. 31, 2012</v>
          </cell>
        </row>
        <row r="10">
          <cell r="S10">
            <v>41065</v>
          </cell>
        </row>
        <row r="12">
          <cell r="N12" t="str">
            <v>2009-10 Actual</v>
          </cell>
          <cell r="O12" t="str">
            <v>2010-11 Actual</v>
          </cell>
          <cell r="P12" t="str">
            <v>2011-12 Contracted</v>
          </cell>
        </row>
        <row r="14">
          <cell r="O14" t="str">
            <v>2010-11</v>
          </cell>
          <cell r="P14" t="str">
            <v>2011-12</v>
          </cell>
        </row>
        <row r="15">
          <cell r="A15">
            <v>19041425</v>
          </cell>
        </row>
        <row r="16">
          <cell r="N16">
            <v>28900</v>
          </cell>
          <cell r="P16" t="str">
            <v>$28,900</v>
          </cell>
        </row>
        <row r="17">
          <cell r="N17" t="str">
            <v>July 1, 2009</v>
          </cell>
          <cell r="O17" t="str">
            <v>July 1, 2010</v>
          </cell>
          <cell r="P17" t="str">
            <v>July 1, 2011</v>
          </cell>
        </row>
        <row r="21">
          <cell r="F21">
            <v>361816</v>
          </cell>
          <cell r="N21">
            <v>0.39500000000000002</v>
          </cell>
        </row>
        <row r="22">
          <cell r="F22">
            <v>453433</v>
          </cell>
          <cell r="N22">
            <v>0.5</v>
          </cell>
        </row>
        <row r="23">
          <cell r="N23">
            <v>0.45600000000000002</v>
          </cell>
        </row>
        <row r="24">
          <cell r="F24">
            <v>58373</v>
          </cell>
          <cell r="N24">
            <v>0.25</v>
          </cell>
        </row>
        <row r="25">
          <cell r="N25">
            <v>3780</v>
          </cell>
        </row>
        <row r="27">
          <cell r="N27">
            <v>74</v>
          </cell>
        </row>
        <row r="28">
          <cell r="N28">
            <v>50</v>
          </cell>
        </row>
        <row r="29">
          <cell r="N29">
            <v>0.8</v>
          </cell>
          <cell r="O29" t="str">
            <v>80.00</v>
          </cell>
        </row>
        <row r="31">
          <cell r="Q31">
            <v>0.06</v>
          </cell>
        </row>
        <row r="32">
          <cell r="Q32">
            <v>0.1</v>
          </cell>
        </row>
        <row r="33">
          <cell r="Q33">
            <v>0.1</v>
          </cell>
        </row>
        <row r="42">
          <cell r="N42" t="str">
            <v>2011-12</v>
          </cell>
        </row>
        <row r="44">
          <cell r="A44">
            <v>294.5</v>
          </cell>
          <cell r="O44" t="str">
            <v>Bond and Interest #1</v>
          </cell>
        </row>
        <row r="45">
          <cell r="A45">
            <v>293</v>
          </cell>
          <cell r="O45" t="str">
            <v>Bond and Interest #2</v>
          </cell>
        </row>
        <row r="46">
          <cell r="A46">
            <v>302</v>
          </cell>
          <cell r="N46">
            <v>0.83</v>
          </cell>
          <cell r="O46" t="str">
            <v>83%</v>
          </cell>
        </row>
        <row r="49">
          <cell r="A49">
            <v>123</v>
          </cell>
          <cell r="O49" t="str">
            <v>Recreation Commission</v>
          </cell>
        </row>
        <row r="50">
          <cell r="A50">
            <v>46</v>
          </cell>
        </row>
        <row r="53">
          <cell r="A53">
            <v>95</v>
          </cell>
          <cell r="Q53" t="str">
            <v>Rec Comm Employee Bnfts</v>
          </cell>
        </row>
        <row r="55">
          <cell r="A55">
            <v>10</v>
          </cell>
        </row>
        <row r="74">
          <cell r="A74">
            <v>0</v>
          </cell>
        </row>
        <row r="81">
          <cell r="A81">
            <v>486</v>
          </cell>
        </row>
        <row r="128">
          <cell r="A128">
            <v>55098</v>
          </cell>
        </row>
        <row r="129">
          <cell r="A129">
            <v>869</v>
          </cell>
        </row>
        <row r="131">
          <cell r="A131">
            <v>7537</v>
          </cell>
        </row>
        <row r="142">
          <cell r="A142">
            <v>302</v>
          </cell>
        </row>
        <row r="143">
          <cell r="A143">
            <v>295</v>
          </cell>
        </row>
        <row r="144">
          <cell r="A144">
            <v>302</v>
          </cell>
        </row>
      </sheetData>
      <sheetData sheetId="2"/>
      <sheetData sheetId="3"/>
      <sheetData sheetId="4"/>
      <sheetData sheetId="5"/>
      <sheetData sheetId="6"/>
      <sheetData sheetId="7">
        <row r="9">
          <cell r="C9">
            <v>70</v>
          </cell>
          <cell r="D9">
            <v>61</v>
          </cell>
          <cell r="E9">
            <v>42</v>
          </cell>
        </row>
        <row r="30">
          <cell r="E30">
            <v>0</v>
          </cell>
        </row>
        <row r="40">
          <cell r="E40">
            <v>0</v>
          </cell>
        </row>
        <row r="42">
          <cell r="E42">
            <v>0</v>
          </cell>
        </row>
      </sheetData>
      <sheetData sheetId="8">
        <row r="9">
          <cell r="D9">
            <v>729</v>
          </cell>
          <cell r="E9">
            <v>1250</v>
          </cell>
        </row>
      </sheetData>
      <sheetData sheetId="9">
        <row r="9">
          <cell r="C9">
            <v>13835</v>
          </cell>
          <cell r="D9">
            <v>11308</v>
          </cell>
          <cell r="E9">
            <v>6840</v>
          </cell>
        </row>
      </sheetData>
      <sheetData sheetId="10">
        <row r="9">
          <cell r="D9">
            <v>0</v>
          </cell>
          <cell r="E9">
            <v>0</v>
          </cell>
        </row>
      </sheetData>
      <sheetData sheetId="11">
        <row r="9">
          <cell r="D9">
            <v>0</v>
          </cell>
          <cell r="E9">
            <v>0</v>
          </cell>
        </row>
      </sheetData>
      <sheetData sheetId="12">
        <row r="9">
          <cell r="D9">
            <v>0</v>
          </cell>
          <cell r="E9">
            <v>0</v>
          </cell>
        </row>
      </sheetData>
      <sheetData sheetId="13">
        <row r="9">
          <cell r="D9">
            <v>1</v>
          </cell>
          <cell r="E9">
            <v>1</v>
          </cell>
        </row>
      </sheetData>
      <sheetData sheetId="14">
        <row r="9">
          <cell r="D9">
            <v>0</v>
          </cell>
          <cell r="E9">
            <v>0</v>
          </cell>
        </row>
      </sheetData>
      <sheetData sheetId="15">
        <row r="9">
          <cell r="D9">
            <v>0</v>
          </cell>
          <cell r="E9">
            <v>0</v>
          </cell>
        </row>
      </sheetData>
      <sheetData sheetId="16">
        <row r="9">
          <cell r="C9">
            <v>663397</v>
          </cell>
          <cell r="D9">
            <v>694048</v>
          </cell>
          <cell r="E9">
            <v>628764</v>
          </cell>
        </row>
      </sheetData>
      <sheetData sheetId="17">
        <row r="9">
          <cell r="C9">
            <v>27989</v>
          </cell>
          <cell r="D9">
            <v>29063</v>
          </cell>
          <cell r="E9">
            <v>30338</v>
          </cell>
        </row>
      </sheetData>
      <sheetData sheetId="18">
        <row r="9">
          <cell r="D9">
            <v>0</v>
          </cell>
          <cell r="E9">
            <v>0</v>
          </cell>
        </row>
      </sheetData>
      <sheetData sheetId="19">
        <row r="9">
          <cell r="D9">
            <v>0</v>
          </cell>
          <cell r="E9">
            <v>0</v>
          </cell>
        </row>
      </sheetData>
      <sheetData sheetId="20">
        <row r="9">
          <cell r="C9">
            <v>61084</v>
          </cell>
          <cell r="D9">
            <v>59987</v>
          </cell>
          <cell r="E9">
            <v>60867</v>
          </cell>
        </row>
      </sheetData>
      <sheetData sheetId="21">
        <row r="9">
          <cell r="C9">
            <v>17734</v>
          </cell>
          <cell r="D9">
            <v>12101</v>
          </cell>
          <cell r="E9">
            <v>9195</v>
          </cell>
        </row>
      </sheetData>
      <sheetData sheetId="22">
        <row r="9">
          <cell r="D9">
            <v>0</v>
          </cell>
          <cell r="E9">
            <v>0</v>
          </cell>
        </row>
      </sheetData>
      <sheetData sheetId="23">
        <row r="9">
          <cell r="C9">
            <v>21116</v>
          </cell>
          <cell r="D9">
            <v>18093</v>
          </cell>
          <cell r="E9">
            <v>14970</v>
          </cell>
        </row>
      </sheetData>
      <sheetData sheetId="24">
        <row r="9">
          <cell r="C9">
            <v>480301</v>
          </cell>
          <cell r="D9">
            <v>504945</v>
          </cell>
          <cell r="E9">
            <v>545792</v>
          </cell>
        </row>
      </sheetData>
      <sheetData sheetId="25">
        <row r="9">
          <cell r="D9">
            <v>0</v>
          </cell>
          <cell r="E9">
            <v>0</v>
          </cell>
        </row>
      </sheetData>
      <sheetData sheetId="26">
        <row r="9">
          <cell r="D9">
            <v>95292</v>
          </cell>
          <cell r="E9">
            <v>153122</v>
          </cell>
        </row>
      </sheetData>
      <sheetData sheetId="27">
        <row r="9">
          <cell r="D9">
            <v>0</v>
          </cell>
          <cell r="E9">
            <v>0</v>
          </cell>
        </row>
      </sheetData>
      <sheetData sheetId="28">
        <row r="9">
          <cell r="D9">
            <v>0</v>
          </cell>
          <cell r="E9">
            <v>0</v>
          </cell>
        </row>
      </sheetData>
      <sheetData sheetId="29">
        <row r="9">
          <cell r="D9">
            <v>0</v>
          </cell>
          <cell r="E9">
            <v>0</v>
          </cell>
        </row>
      </sheetData>
      <sheetData sheetId="30">
        <row r="9">
          <cell r="D9">
            <v>0</v>
          </cell>
          <cell r="E9">
            <v>0</v>
          </cell>
        </row>
      </sheetData>
      <sheetData sheetId="31">
        <row r="9">
          <cell r="D9">
            <v>0</v>
          </cell>
        </row>
        <row r="42">
          <cell r="D42">
            <v>0</v>
          </cell>
        </row>
      </sheetData>
      <sheetData sheetId="32"/>
      <sheetData sheetId="33">
        <row r="9">
          <cell r="C9">
            <v>269500</v>
          </cell>
          <cell r="D9">
            <v>269500</v>
          </cell>
          <cell r="E9">
            <v>269500</v>
          </cell>
        </row>
      </sheetData>
      <sheetData sheetId="34">
        <row r="9">
          <cell r="C9">
            <v>75887</v>
          </cell>
          <cell r="D9">
            <v>101742</v>
          </cell>
          <cell r="E9">
            <v>105465</v>
          </cell>
        </row>
      </sheetData>
      <sheetData sheetId="35">
        <row r="9">
          <cell r="E9">
            <v>0</v>
          </cell>
        </row>
      </sheetData>
      <sheetData sheetId="36">
        <row r="9">
          <cell r="D9">
            <v>0</v>
          </cell>
          <cell r="E9">
            <v>0</v>
          </cell>
        </row>
      </sheetData>
      <sheetData sheetId="37">
        <row r="9">
          <cell r="D9">
            <v>0</v>
          </cell>
          <cell r="E9">
            <v>0</v>
          </cell>
        </row>
      </sheetData>
      <sheetData sheetId="38">
        <row r="9">
          <cell r="D9">
            <v>0</v>
          </cell>
          <cell r="E9">
            <v>0</v>
          </cell>
        </row>
      </sheetData>
      <sheetData sheetId="39">
        <row r="9">
          <cell r="D9">
            <v>0</v>
          </cell>
          <cell r="E9">
            <v>0</v>
          </cell>
        </row>
      </sheetData>
      <sheetData sheetId="40">
        <row r="9">
          <cell r="D9">
            <v>0</v>
          </cell>
          <cell r="E9">
            <v>0</v>
          </cell>
        </row>
      </sheetData>
      <sheetData sheetId="41">
        <row r="9">
          <cell r="D9">
            <v>0</v>
          </cell>
          <cell r="E9">
            <v>0</v>
          </cell>
        </row>
      </sheetData>
      <sheetData sheetId="42">
        <row r="9">
          <cell r="D9">
            <v>0</v>
          </cell>
          <cell r="E9">
            <v>0</v>
          </cell>
        </row>
      </sheetData>
      <sheetData sheetId="43">
        <row r="9">
          <cell r="D9">
            <v>0</v>
          </cell>
          <cell r="E9">
            <v>0</v>
          </cell>
        </row>
      </sheetData>
      <sheetData sheetId="44">
        <row r="9">
          <cell r="D9">
            <v>0</v>
          </cell>
          <cell r="E9">
            <v>0</v>
          </cell>
        </row>
      </sheetData>
      <sheetData sheetId="45">
        <row r="9">
          <cell r="D9">
            <v>0</v>
          </cell>
          <cell r="E9">
            <v>0</v>
          </cell>
        </row>
      </sheetData>
      <sheetData sheetId="46">
        <row r="9">
          <cell r="D9">
            <v>0</v>
          </cell>
          <cell r="E9">
            <v>0</v>
          </cell>
        </row>
      </sheetData>
      <sheetData sheetId="47">
        <row r="9">
          <cell r="D9">
            <v>0</v>
          </cell>
          <cell r="E9">
            <v>0</v>
          </cell>
        </row>
      </sheetData>
      <sheetData sheetId="48"/>
      <sheetData sheetId="49">
        <row r="2">
          <cell r="A2" t="str">
            <v>USD#</v>
          </cell>
          <cell r="B2" t="str">
            <v>USD# - Name</v>
          </cell>
          <cell r="C2" t="str">
            <v>County Name</v>
          </cell>
          <cell r="D2" t="str">
            <v>2009 Assd Val</v>
          </cell>
          <cell r="E2" t="str">
            <v>2009 GF Val</v>
          </cell>
          <cell r="F2" t="str">
            <v>2010 Assd Val</v>
          </cell>
          <cell r="G2" t="str">
            <v>2010 GF Val</v>
          </cell>
          <cell r="H2" t="str">
            <v>2009-10 FTE (ex 4yrAR)</v>
          </cell>
          <cell r="I2" t="str">
            <v>2010-11 FTE (ex 4YrAR)</v>
          </cell>
          <cell r="J2" t="str">
            <v>Sq Miles</v>
          </cell>
          <cell r="K2" t="str">
            <v>2010-11 Gen Fund</v>
          </cell>
          <cell r="L2" t="str">
            <v>2010-11 NP Reg</v>
          </cell>
          <cell r="M2" t="str">
            <v>2010-11 NP Virt</v>
          </cell>
          <cell r="N2" t="str">
            <v>2009-10 Sped</v>
          </cell>
          <cell r="O2" t="str">
            <v>2010-11 Sped</v>
          </cell>
          <cell r="P2" t="str">
            <v>2009-10 ARRA</v>
          </cell>
          <cell r="Q2" t="str">
            <v>2010-11 ARRA</v>
          </cell>
          <cell r="R2" t="str">
            <v>2010-11 Ed Jobs</v>
          </cell>
          <cell r="S2" t="str">
            <v>2009-10 LOB Aid</v>
          </cell>
          <cell r="T2" t="str">
            <v>2010-11 LOB Aid</v>
          </cell>
          <cell r="U2" t="str">
            <v>2009-10 ARRA</v>
          </cell>
          <cell r="V2" t="str">
            <v>2011-12 COL Pct</v>
          </cell>
          <cell r="W2" t="str">
            <v>2008-09 Sped Aid</v>
          </cell>
          <cell r="X2" t="str">
            <v>PY1 Free Pct</v>
          </cell>
          <cell r="Y2" t="str">
            <v>PY2 Free Pct</v>
          </cell>
          <cell r="Z2" t="str">
            <v>FY11 Free Meal</v>
          </cell>
          <cell r="AA2" t="str">
            <v>FY11 Red Meal</v>
          </cell>
          <cell r="AB2" t="str">
            <v>LOB Rate</v>
          </cell>
          <cell r="AC2" t="str">
            <v>Bond Prior Rate</v>
          </cell>
          <cell r="AD2" t="str">
            <v>Bond After Rate</v>
          </cell>
        </row>
        <row r="3">
          <cell r="A3">
            <v>101</v>
          </cell>
          <cell r="B3" t="str">
            <v>101 - Erie</v>
          </cell>
          <cell r="C3" t="str">
            <v>Neosho</v>
          </cell>
          <cell r="D3">
            <v>50236674</v>
          </cell>
          <cell r="E3">
            <v>46783580</v>
          </cell>
          <cell r="F3">
            <v>32965205</v>
          </cell>
          <cell r="G3">
            <v>29509363</v>
          </cell>
          <cell r="H3">
            <v>502.5</v>
          </cell>
          <cell r="I3">
            <v>512.6</v>
          </cell>
          <cell r="J3">
            <v>325</v>
          </cell>
          <cell r="K3">
            <v>4652747</v>
          </cell>
          <cell r="L3">
            <v>30</v>
          </cell>
          <cell r="M3">
            <v>0</v>
          </cell>
          <cell r="N3">
            <v>682749</v>
          </cell>
          <cell r="O3">
            <v>676271</v>
          </cell>
          <cell r="P3">
            <v>224127</v>
          </cell>
          <cell r="Q3">
            <v>76993</v>
          </cell>
          <cell r="R3">
            <v>134815</v>
          </cell>
          <cell r="U3">
            <v>76099</v>
          </cell>
          <cell r="V3">
            <v>0</v>
          </cell>
          <cell r="W3">
            <v>731167</v>
          </cell>
          <cell r="X3">
            <v>0.499</v>
          </cell>
          <cell r="Y3">
            <v>0.38900000000000001</v>
          </cell>
          <cell r="Z3">
            <v>262</v>
          </cell>
          <cell r="AA3">
            <v>76</v>
          </cell>
          <cell r="AB3">
            <v>0.3901</v>
          </cell>
          <cell r="AC3">
            <v>0</v>
          </cell>
          <cell r="AD3">
            <v>0.2</v>
          </cell>
        </row>
        <row r="4">
          <cell r="A4">
            <v>102</v>
          </cell>
          <cell r="B4" t="str">
            <v>102 - Cimarron-Ensign</v>
          </cell>
          <cell r="C4" t="str">
            <v>Gray</v>
          </cell>
          <cell r="D4">
            <v>34668757</v>
          </cell>
          <cell r="E4">
            <v>31990327</v>
          </cell>
          <cell r="F4">
            <v>34910466</v>
          </cell>
          <cell r="G4">
            <v>32228708</v>
          </cell>
          <cell r="H4">
            <v>649.9</v>
          </cell>
          <cell r="I4">
            <v>659.6</v>
          </cell>
          <cell r="J4">
            <v>538</v>
          </cell>
          <cell r="K4">
            <v>4857077</v>
          </cell>
          <cell r="L4">
            <v>31</v>
          </cell>
          <cell r="M4">
            <v>0</v>
          </cell>
          <cell r="N4">
            <v>460751</v>
          </cell>
          <cell r="O4">
            <v>472014</v>
          </cell>
          <cell r="P4">
            <v>233857</v>
          </cell>
          <cell r="Q4">
            <v>87697</v>
          </cell>
          <cell r="R4">
            <v>153556</v>
          </cell>
          <cell r="U4">
            <v>118495</v>
          </cell>
          <cell r="V4">
            <v>0</v>
          </cell>
          <cell r="W4">
            <v>538383</v>
          </cell>
          <cell r="X4">
            <v>0.33300000000000002</v>
          </cell>
          <cell r="Y4">
            <v>0.33800000000000002</v>
          </cell>
          <cell r="Z4">
            <v>222</v>
          </cell>
          <cell r="AA4">
            <v>73</v>
          </cell>
          <cell r="AB4">
            <v>0.50070000000000003</v>
          </cell>
          <cell r="AC4">
            <v>0.12</v>
          </cell>
          <cell r="AD4">
            <v>0.32</v>
          </cell>
        </row>
        <row r="5">
          <cell r="A5">
            <v>103</v>
          </cell>
          <cell r="B5" t="str">
            <v>103 - Cheylin</v>
          </cell>
          <cell r="C5" t="str">
            <v>Cheyenne</v>
          </cell>
          <cell r="D5">
            <v>14737460</v>
          </cell>
          <cell r="E5">
            <v>13560102</v>
          </cell>
          <cell r="F5">
            <v>14576434</v>
          </cell>
          <cell r="G5">
            <v>13403241</v>
          </cell>
          <cell r="H5">
            <v>137</v>
          </cell>
          <cell r="I5">
            <v>138</v>
          </cell>
          <cell r="J5">
            <v>688</v>
          </cell>
          <cell r="K5">
            <v>1470470</v>
          </cell>
          <cell r="L5">
            <v>3</v>
          </cell>
          <cell r="M5">
            <v>0</v>
          </cell>
          <cell r="N5">
            <v>149744</v>
          </cell>
          <cell r="O5">
            <v>157816</v>
          </cell>
          <cell r="P5">
            <v>71196</v>
          </cell>
          <cell r="Q5">
            <v>26327</v>
          </cell>
          <cell r="R5">
            <v>46099</v>
          </cell>
          <cell r="U5">
            <v>0</v>
          </cell>
          <cell r="V5">
            <v>0</v>
          </cell>
          <cell r="W5">
            <v>190255</v>
          </cell>
          <cell r="X5">
            <v>0.51400000000000001</v>
          </cell>
          <cell r="Y5">
            <v>0.46</v>
          </cell>
          <cell r="Z5">
            <v>71</v>
          </cell>
          <cell r="AA5">
            <v>23</v>
          </cell>
          <cell r="AB5">
            <v>0</v>
          </cell>
          <cell r="AC5">
            <v>0</v>
          </cell>
          <cell r="AD5">
            <v>0</v>
          </cell>
        </row>
        <row r="6">
          <cell r="A6">
            <v>105</v>
          </cell>
          <cell r="B6" t="str">
            <v>105 - Rawlins County</v>
          </cell>
          <cell r="C6" t="str">
            <v>Rawlins</v>
          </cell>
          <cell r="D6">
            <v>21997124</v>
          </cell>
          <cell r="E6">
            <v>19806415</v>
          </cell>
          <cell r="F6">
            <v>22616047</v>
          </cell>
          <cell r="G6">
            <v>20433457</v>
          </cell>
          <cell r="H6">
            <v>312.2</v>
          </cell>
          <cell r="I6">
            <v>300</v>
          </cell>
          <cell r="J6">
            <v>740.1</v>
          </cell>
          <cell r="K6">
            <v>2335428</v>
          </cell>
          <cell r="L6">
            <v>24</v>
          </cell>
          <cell r="M6">
            <v>0</v>
          </cell>
          <cell r="N6">
            <v>233924</v>
          </cell>
          <cell r="O6">
            <v>178462</v>
          </cell>
          <cell r="P6">
            <v>121684</v>
          </cell>
          <cell r="Q6">
            <v>45399</v>
          </cell>
          <cell r="R6">
            <v>79493</v>
          </cell>
          <cell r="U6">
            <v>54271</v>
          </cell>
          <cell r="V6">
            <v>0</v>
          </cell>
          <cell r="W6">
            <v>333603</v>
          </cell>
          <cell r="X6">
            <v>0.307</v>
          </cell>
          <cell r="Y6">
            <v>0.34599999999999997</v>
          </cell>
          <cell r="Z6">
            <v>96</v>
          </cell>
          <cell r="AA6">
            <v>61</v>
          </cell>
          <cell r="AB6">
            <v>0.28760000000000002</v>
          </cell>
          <cell r="AC6">
            <v>0</v>
          </cell>
          <cell r="AD6">
            <v>0.1</v>
          </cell>
        </row>
        <row r="7">
          <cell r="A7">
            <v>106</v>
          </cell>
          <cell r="B7" t="str">
            <v>106 - Western Plains</v>
          </cell>
          <cell r="C7" t="str">
            <v>Ness</v>
          </cell>
          <cell r="D7">
            <v>29542255</v>
          </cell>
          <cell r="E7">
            <v>28218352</v>
          </cell>
          <cell r="F7">
            <v>34320324</v>
          </cell>
          <cell r="G7">
            <v>32987961</v>
          </cell>
          <cell r="H7">
            <v>164</v>
          </cell>
          <cell r="I7">
            <v>165.5</v>
          </cell>
          <cell r="J7">
            <v>601.20000000000005</v>
          </cell>
          <cell r="K7">
            <v>1618501</v>
          </cell>
          <cell r="L7">
            <v>7</v>
          </cell>
          <cell r="M7">
            <v>0</v>
          </cell>
          <cell r="N7">
            <v>106811</v>
          </cell>
          <cell r="O7">
            <v>109725</v>
          </cell>
          <cell r="P7">
            <v>81188</v>
          </cell>
          <cell r="Q7">
            <v>30918</v>
          </cell>
          <cell r="R7">
            <v>54138</v>
          </cell>
          <cell r="U7">
            <v>0</v>
          </cell>
          <cell r="V7">
            <v>0</v>
          </cell>
          <cell r="W7">
            <v>151342</v>
          </cell>
          <cell r="X7">
            <v>0.52600000000000002</v>
          </cell>
          <cell r="Y7">
            <v>0.503</v>
          </cell>
          <cell r="Z7">
            <v>87</v>
          </cell>
          <cell r="AA7">
            <v>16</v>
          </cell>
          <cell r="AB7">
            <v>0</v>
          </cell>
          <cell r="AC7">
            <v>0</v>
          </cell>
          <cell r="AD7">
            <v>0</v>
          </cell>
        </row>
        <row r="8">
          <cell r="A8">
            <v>107</v>
          </cell>
          <cell r="B8" t="str">
            <v>107 - Rock Hills</v>
          </cell>
          <cell r="C8" t="str">
            <v>Jewell</v>
          </cell>
          <cell r="D8">
            <v>26875331</v>
          </cell>
          <cell r="E8">
            <v>24299729</v>
          </cell>
          <cell r="F8">
            <v>26952739</v>
          </cell>
          <cell r="G8">
            <v>24337380</v>
          </cell>
          <cell r="H8">
            <v>288</v>
          </cell>
          <cell r="I8">
            <v>283.5</v>
          </cell>
          <cell r="J8">
            <v>762</v>
          </cell>
          <cell r="K8">
            <v>3649381</v>
          </cell>
          <cell r="L8">
            <v>13</v>
          </cell>
          <cell r="M8">
            <v>0</v>
          </cell>
          <cell r="N8">
            <v>265023</v>
          </cell>
          <cell r="O8">
            <v>338406</v>
          </cell>
          <cell r="P8">
            <v>141320</v>
          </cell>
          <cell r="Q8">
            <v>44932</v>
          </cell>
          <cell r="R8">
            <v>78675</v>
          </cell>
          <cell r="U8">
            <v>80828</v>
          </cell>
          <cell r="V8">
            <v>0</v>
          </cell>
          <cell r="W8">
            <v>323214</v>
          </cell>
          <cell r="X8">
            <v>0.29199999999999998</v>
          </cell>
          <cell r="Y8">
            <v>0.30399999999999999</v>
          </cell>
          <cell r="Z8">
            <v>86</v>
          </cell>
          <cell r="AA8">
            <v>43</v>
          </cell>
          <cell r="AB8">
            <v>0.42509999999999998</v>
          </cell>
          <cell r="AC8">
            <v>0.09</v>
          </cell>
          <cell r="AD8">
            <v>0.28999999999999998</v>
          </cell>
        </row>
        <row r="9">
          <cell r="A9">
            <v>108</v>
          </cell>
          <cell r="B9" t="str">
            <v>108 - Washington Co. Schools</v>
          </cell>
          <cell r="C9" t="str">
            <v>Washington</v>
          </cell>
          <cell r="D9">
            <v>27092154</v>
          </cell>
          <cell r="E9">
            <v>24507366</v>
          </cell>
          <cell r="F9">
            <v>27298313</v>
          </cell>
          <cell r="G9">
            <v>24670883</v>
          </cell>
          <cell r="H9">
            <v>396.5</v>
          </cell>
          <cell r="I9">
            <v>399</v>
          </cell>
          <cell r="J9">
            <v>389</v>
          </cell>
          <cell r="K9">
            <v>3223222</v>
          </cell>
          <cell r="L9">
            <v>39</v>
          </cell>
          <cell r="M9">
            <v>0</v>
          </cell>
          <cell r="N9">
            <v>483959</v>
          </cell>
          <cell r="O9">
            <v>494671</v>
          </cell>
          <cell r="P9">
            <v>153149</v>
          </cell>
          <cell r="Q9">
            <v>56561</v>
          </cell>
          <cell r="R9">
            <v>99038</v>
          </cell>
          <cell r="U9">
            <v>95080</v>
          </cell>
          <cell r="V9">
            <v>0</v>
          </cell>
          <cell r="W9">
            <v>548331</v>
          </cell>
          <cell r="X9">
            <v>0.29799999999999999</v>
          </cell>
          <cell r="Y9">
            <v>0.315</v>
          </cell>
          <cell r="Z9">
            <v>119</v>
          </cell>
          <cell r="AA9">
            <v>75</v>
          </cell>
          <cell r="AB9">
            <v>0.34620000000000001</v>
          </cell>
          <cell r="AC9">
            <v>0</v>
          </cell>
          <cell r="AD9">
            <v>0.16</v>
          </cell>
        </row>
        <row r="10">
          <cell r="A10">
            <v>109</v>
          </cell>
          <cell r="B10" t="str">
            <v>109 - Republic County</v>
          </cell>
          <cell r="C10" t="str">
            <v>Republic</v>
          </cell>
          <cell r="D10">
            <v>34207553</v>
          </cell>
          <cell r="E10">
            <v>30371263</v>
          </cell>
          <cell r="F10">
            <v>34246782</v>
          </cell>
          <cell r="G10">
            <v>30406739</v>
          </cell>
          <cell r="H10">
            <v>471.8</v>
          </cell>
          <cell r="I10">
            <v>483.5</v>
          </cell>
          <cell r="J10">
            <v>560</v>
          </cell>
          <cell r="K10">
            <v>3799992</v>
          </cell>
          <cell r="L10">
            <v>23</v>
          </cell>
          <cell r="M10">
            <v>0</v>
          </cell>
          <cell r="N10">
            <v>537019</v>
          </cell>
          <cell r="O10">
            <v>524179</v>
          </cell>
          <cell r="P10">
            <v>183499</v>
          </cell>
          <cell r="Q10">
            <v>67095</v>
          </cell>
          <cell r="R10">
            <v>117484</v>
          </cell>
          <cell r="U10">
            <v>93278</v>
          </cell>
          <cell r="V10">
            <v>0</v>
          </cell>
          <cell r="W10">
            <v>615260</v>
          </cell>
          <cell r="X10">
            <v>0.36799999999999999</v>
          </cell>
          <cell r="Y10">
            <v>0.34499999999999997</v>
          </cell>
          <cell r="Z10">
            <v>178</v>
          </cell>
          <cell r="AA10">
            <v>115</v>
          </cell>
          <cell r="AB10">
            <v>0.32040000000000002</v>
          </cell>
          <cell r="AC10">
            <v>0</v>
          </cell>
          <cell r="AD10">
            <v>0.13</v>
          </cell>
        </row>
        <row r="11">
          <cell r="A11">
            <v>110</v>
          </cell>
          <cell r="B11" t="str">
            <v>110 - Thunder Ridge</v>
          </cell>
          <cell r="C11" t="str">
            <v>Phillips</v>
          </cell>
          <cell r="D11">
            <v>14052990</v>
          </cell>
          <cell r="E11">
            <v>12560873</v>
          </cell>
          <cell r="F11">
            <v>13859109</v>
          </cell>
          <cell r="G11">
            <v>12344912</v>
          </cell>
          <cell r="H11">
            <v>236.5</v>
          </cell>
          <cell r="I11">
            <v>247</v>
          </cell>
          <cell r="J11">
            <v>491</v>
          </cell>
          <cell r="K11">
            <v>3057615</v>
          </cell>
          <cell r="L11">
            <v>15</v>
          </cell>
          <cell r="M11">
            <v>0</v>
          </cell>
          <cell r="N11">
            <v>249762</v>
          </cell>
          <cell r="O11">
            <v>265015</v>
          </cell>
          <cell r="P11">
            <v>110970</v>
          </cell>
          <cell r="Q11">
            <v>39576</v>
          </cell>
          <cell r="R11">
            <v>69297</v>
          </cell>
          <cell r="U11">
            <v>73587</v>
          </cell>
          <cell r="V11">
            <v>0</v>
          </cell>
          <cell r="W11">
            <v>333931</v>
          </cell>
          <cell r="X11">
            <v>0.40500000000000003</v>
          </cell>
          <cell r="Y11">
            <v>0.34</v>
          </cell>
          <cell r="Z11">
            <v>101</v>
          </cell>
          <cell r="AA11">
            <v>44</v>
          </cell>
          <cell r="AB11">
            <v>0.46710000000000002</v>
          </cell>
          <cell r="AC11">
            <v>0.08</v>
          </cell>
          <cell r="AD11">
            <v>0.28000000000000003</v>
          </cell>
        </row>
        <row r="12">
          <cell r="A12">
            <v>111</v>
          </cell>
          <cell r="B12" t="str">
            <v>111 - Doniphan West Schools</v>
          </cell>
          <cell r="C12" t="str">
            <v>Doniphan</v>
          </cell>
          <cell r="D12">
            <v>35266973</v>
          </cell>
          <cell r="E12">
            <v>32954977</v>
          </cell>
          <cell r="F12">
            <v>48593145</v>
          </cell>
          <cell r="G12">
            <v>46269435</v>
          </cell>
          <cell r="H12">
            <v>368.1</v>
          </cell>
          <cell r="I12">
            <v>341.5</v>
          </cell>
          <cell r="J12">
            <v>229</v>
          </cell>
          <cell r="K12">
            <v>4020817</v>
          </cell>
          <cell r="L12">
            <v>18</v>
          </cell>
          <cell r="M12">
            <v>0</v>
          </cell>
          <cell r="N12">
            <v>378508</v>
          </cell>
          <cell r="O12">
            <v>369928</v>
          </cell>
          <cell r="P12">
            <v>181422</v>
          </cell>
          <cell r="Q12">
            <v>56070</v>
          </cell>
          <cell r="R12">
            <v>98178</v>
          </cell>
          <cell r="U12">
            <v>86945</v>
          </cell>
          <cell r="V12">
            <v>0</v>
          </cell>
          <cell r="W12">
            <v>555221</v>
          </cell>
          <cell r="X12">
            <v>0.26</v>
          </cell>
          <cell r="Y12">
            <v>0.23699999999999999</v>
          </cell>
          <cell r="Z12">
            <v>97</v>
          </cell>
          <cell r="AA12">
            <v>53</v>
          </cell>
          <cell r="AB12">
            <v>0.46700000000000003</v>
          </cell>
          <cell r="AC12">
            <v>0.12</v>
          </cell>
          <cell r="AD12">
            <v>0.32</v>
          </cell>
        </row>
        <row r="13">
          <cell r="A13">
            <v>112</v>
          </cell>
          <cell r="B13" t="str">
            <v>112 - Central Plains</v>
          </cell>
          <cell r="C13" t="str">
            <v>Ellsworth</v>
          </cell>
          <cell r="D13">
            <v>86688577</v>
          </cell>
          <cell r="E13">
            <v>82859480</v>
          </cell>
          <cell r="F13">
            <v>90116175</v>
          </cell>
          <cell r="G13">
            <v>86244294</v>
          </cell>
          <cell r="H13">
            <v>612.79999999999995</v>
          </cell>
          <cell r="I13">
            <v>516.5</v>
          </cell>
          <cell r="J13">
            <v>582.79999999999995</v>
          </cell>
          <cell r="K13">
            <v>5601153</v>
          </cell>
          <cell r="L13">
            <v>17</v>
          </cell>
          <cell r="M13">
            <v>0</v>
          </cell>
          <cell r="N13">
            <v>595092</v>
          </cell>
          <cell r="O13">
            <v>603378</v>
          </cell>
          <cell r="P13">
            <v>264272</v>
          </cell>
          <cell r="Q13">
            <v>100341</v>
          </cell>
          <cell r="R13">
            <v>175697</v>
          </cell>
          <cell r="U13">
            <v>0</v>
          </cell>
          <cell r="V13">
            <v>0</v>
          </cell>
          <cell r="W13">
            <v>685976</v>
          </cell>
          <cell r="X13">
            <v>0.26400000000000001</v>
          </cell>
          <cell r="Y13">
            <v>0.30299999999999999</v>
          </cell>
          <cell r="Z13">
            <v>164</v>
          </cell>
          <cell r="AA13">
            <v>86</v>
          </cell>
          <cell r="AB13">
            <v>0</v>
          </cell>
          <cell r="AC13">
            <v>0</v>
          </cell>
          <cell r="AD13">
            <v>0</v>
          </cell>
        </row>
        <row r="14">
          <cell r="A14">
            <v>113</v>
          </cell>
          <cell r="B14" t="str">
            <v>113 - Prairie Hills</v>
          </cell>
          <cell r="C14" t="str">
            <v>Nemaha</v>
          </cell>
          <cell r="D14">
            <v>67591507</v>
          </cell>
          <cell r="E14">
            <v>61915916</v>
          </cell>
          <cell r="F14">
            <v>79420106</v>
          </cell>
          <cell r="G14">
            <v>73729827</v>
          </cell>
          <cell r="H14">
            <v>1210.2</v>
          </cell>
          <cell r="I14">
            <v>1176.8</v>
          </cell>
          <cell r="J14">
            <v>543</v>
          </cell>
          <cell r="K14">
            <v>8653076</v>
          </cell>
          <cell r="L14">
            <v>38</v>
          </cell>
          <cell r="M14">
            <v>0</v>
          </cell>
          <cell r="N14">
            <v>1017780</v>
          </cell>
          <cell r="O14">
            <v>1014760</v>
          </cell>
          <cell r="P14">
            <v>417138</v>
          </cell>
          <cell r="Q14">
            <v>153334</v>
          </cell>
          <cell r="R14">
            <v>268488</v>
          </cell>
          <cell r="U14">
            <v>319167</v>
          </cell>
          <cell r="V14">
            <v>0</v>
          </cell>
          <cell r="W14">
            <v>1100793</v>
          </cell>
          <cell r="X14">
            <v>0.23400000000000001</v>
          </cell>
          <cell r="Y14">
            <v>0.192</v>
          </cell>
          <cell r="Z14">
            <v>284</v>
          </cell>
          <cell r="AA14">
            <v>100</v>
          </cell>
          <cell r="AB14">
            <v>0.55910000000000004</v>
          </cell>
          <cell r="AC14">
            <v>0.17</v>
          </cell>
          <cell r="AD14">
            <v>0.37</v>
          </cell>
        </row>
        <row r="15">
          <cell r="A15">
            <v>114</v>
          </cell>
          <cell r="B15" t="str">
            <v>114 - Riverside</v>
          </cell>
          <cell r="C15" t="str">
            <v>Doniphan</v>
          </cell>
          <cell r="D15">
            <v>30668801</v>
          </cell>
          <cell r="E15">
            <v>27723907</v>
          </cell>
          <cell r="F15">
            <v>33622253</v>
          </cell>
          <cell r="G15">
            <v>30621495</v>
          </cell>
          <cell r="H15">
            <v>706.2</v>
          </cell>
          <cell r="I15">
            <v>740.7</v>
          </cell>
          <cell r="J15">
            <v>88</v>
          </cell>
          <cell r="K15">
            <v>5605459</v>
          </cell>
          <cell r="L15">
            <v>67</v>
          </cell>
          <cell r="M15">
            <v>0</v>
          </cell>
          <cell r="N15">
            <v>633466</v>
          </cell>
          <cell r="O15">
            <v>649434</v>
          </cell>
          <cell r="P15">
            <v>267421</v>
          </cell>
          <cell r="Q15">
            <v>99503</v>
          </cell>
          <cell r="R15">
            <v>174230</v>
          </cell>
          <cell r="U15">
            <v>136306</v>
          </cell>
          <cell r="V15">
            <v>0</v>
          </cell>
          <cell r="W15">
            <v>631555</v>
          </cell>
          <cell r="X15">
            <v>0.42799999999999999</v>
          </cell>
          <cell r="Y15">
            <v>0.375</v>
          </cell>
          <cell r="Z15">
            <v>319</v>
          </cell>
          <cell r="AA15">
            <v>112</v>
          </cell>
          <cell r="AB15">
            <v>0.63170000000000004</v>
          </cell>
          <cell r="AC15">
            <v>0.23</v>
          </cell>
          <cell r="AD15">
            <v>0.43</v>
          </cell>
        </row>
        <row r="16">
          <cell r="A16">
            <v>115</v>
          </cell>
          <cell r="B16" t="str">
            <v>115 - Nemaha Central</v>
          </cell>
          <cell r="C16" t="str">
            <v>Nemaha</v>
          </cell>
          <cell r="D16">
            <v>45781249</v>
          </cell>
          <cell r="E16">
            <v>42181329</v>
          </cell>
          <cell r="F16">
            <v>61754375</v>
          </cell>
          <cell r="G16">
            <v>58139797</v>
          </cell>
          <cell r="H16">
            <v>611.6</v>
          </cell>
          <cell r="I16">
            <v>583.79999999999995</v>
          </cell>
          <cell r="J16">
            <v>222</v>
          </cell>
          <cell r="K16">
            <v>5016919</v>
          </cell>
          <cell r="L16">
            <v>31</v>
          </cell>
          <cell r="M16">
            <v>0</v>
          </cell>
          <cell r="N16">
            <v>479330</v>
          </cell>
          <cell r="O16">
            <v>509556</v>
          </cell>
          <cell r="P16">
            <v>251109</v>
          </cell>
          <cell r="Q16">
            <v>90145</v>
          </cell>
          <cell r="R16">
            <v>157844</v>
          </cell>
          <cell r="U16">
            <v>73920</v>
          </cell>
          <cell r="V16">
            <v>0</v>
          </cell>
          <cell r="W16">
            <v>577233</v>
          </cell>
          <cell r="X16">
            <v>0.16</v>
          </cell>
          <cell r="Y16">
            <v>0.155</v>
          </cell>
          <cell r="Z16">
            <v>99</v>
          </cell>
          <cell r="AA16">
            <v>56</v>
          </cell>
          <cell r="AB16">
            <v>0.30030000000000001</v>
          </cell>
          <cell r="AC16">
            <v>0</v>
          </cell>
          <cell r="AD16">
            <v>0.13</v>
          </cell>
        </row>
        <row r="17">
          <cell r="A17">
            <v>200</v>
          </cell>
          <cell r="B17" t="str">
            <v>200 - Greeley County</v>
          </cell>
          <cell r="C17" t="str">
            <v>Greeley</v>
          </cell>
          <cell r="D17">
            <v>35620577</v>
          </cell>
          <cell r="E17">
            <v>34299753</v>
          </cell>
          <cell r="F17">
            <v>28094169</v>
          </cell>
          <cell r="G17">
            <v>26775177</v>
          </cell>
          <cell r="H17">
            <v>210.3</v>
          </cell>
          <cell r="I17">
            <v>188.5</v>
          </cell>
          <cell r="J17">
            <v>780</v>
          </cell>
          <cell r="K17">
            <v>1837398</v>
          </cell>
          <cell r="L17">
            <v>22</v>
          </cell>
          <cell r="M17">
            <v>0</v>
          </cell>
          <cell r="N17">
            <v>67382</v>
          </cell>
          <cell r="O17">
            <v>123876</v>
          </cell>
          <cell r="P17">
            <v>98528</v>
          </cell>
          <cell r="Q17">
            <v>36201</v>
          </cell>
          <cell r="R17">
            <v>63388</v>
          </cell>
          <cell r="U17">
            <v>0</v>
          </cell>
          <cell r="V17">
            <v>0</v>
          </cell>
          <cell r="W17">
            <v>165851</v>
          </cell>
          <cell r="X17">
            <v>0.33900000000000002</v>
          </cell>
          <cell r="Y17">
            <v>0.34599999999999997</v>
          </cell>
          <cell r="Z17">
            <v>72</v>
          </cell>
          <cell r="AA17">
            <v>23</v>
          </cell>
          <cell r="AB17">
            <v>0</v>
          </cell>
          <cell r="AC17">
            <v>0</v>
          </cell>
          <cell r="AD17">
            <v>0</v>
          </cell>
        </row>
        <row r="18">
          <cell r="A18">
            <v>202</v>
          </cell>
          <cell r="B18" t="str">
            <v>202 - Turner</v>
          </cell>
          <cell r="C18" t="str">
            <v>Wyandotte</v>
          </cell>
          <cell r="D18">
            <v>141589597</v>
          </cell>
          <cell r="E18">
            <v>127119704</v>
          </cell>
          <cell r="F18">
            <v>129412173</v>
          </cell>
          <cell r="G18">
            <v>114981729</v>
          </cell>
          <cell r="H18">
            <v>3690.1</v>
          </cell>
          <cell r="I18">
            <v>3681.5</v>
          </cell>
          <cell r="J18">
            <v>17</v>
          </cell>
          <cell r="K18">
            <v>24849696</v>
          </cell>
          <cell r="L18">
            <v>162</v>
          </cell>
          <cell r="M18">
            <v>0</v>
          </cell>
          <cell r="N18">
            <v>2701782</v>
          </cell>
          <cell r="O18">
            <v>2945159</v>
          </cell>
          <cell r="P18">
            <v>1184459</v>
          </cell>
          <cell r="Q18">
            <v>445941</v>
          </cell>
          <cell r="R18">
            <v>780841</v>
          </cell>
          <cell r="U18">
            <v>1158352</v>
          </cell>
          <cell r="V18">
            <v>0</v>
          </cell>
          <cell r="W18">
            <v>3234002</v>
          </cell>
          <cell r="X18">
            <v>0.62</v>
          </cell>
          <cell r="Y18">
            <v>0.57799999999999996</v>
          </cell>
          <cell r="Z18">
            <v>2353</v>
          </cell>
          <cell r="AA18">
            <v>534</v>
          </cell>
          <cell r="AB18">
            <v>0.67010000000000003</v>
          </cell>
          <cell r="AC18">
            <v>0.3</v>
          </cell>
          <cell r="AD18">
            <v>0.5</v>
          </cell>
        </row>
        <row r="19">
          <cell r="A19">
            <v>203</v>
          </cell>
          <cell r="B19" t="str">
            <v>203 - Piper</v>
          </cell>
          <cell r="C19" t="str">
            <v>Wyandotte</v>
          </cell>
          <cell r="D19">
            <v>156768915</v>
          </cell>
          <cell r="E19">
            <v>148576639</v>
          </cell>
          <cell r="F19">
            <v>154191021</v>
          </cell>
          <cell r="G19">
            <v>145854847</v>
          </cell>
          <cell r="H19">
            <v>1626.5</v>
          </cell>
          <cell r="I19">
            <v>1640.5</v>
          </cell>
          <cell r="J19">
            <v>31.4</v>
          </cell>
          <cell r="K19">
            <v>9923475</v>
          </cell>
          <cell r="L19">
            <v>58</v>
          </cell>
          <cell r="M19">
            <v>0</v>
          </cell>
          <cell r="N19">
            <v>1177208</v>
          </cell>
          <cell r="O19">
            <v>1313929</v>
          </cell>
          <cell r="P19">
            <v>402334</v>
          </cell>
          <cell r="Q19">
            <v>172768</v>
          </cell>
          <cell r="R19">
            <v>302516</v>
          </cell>
          <cell r="U19">
            <v>0</v>
          </cell>
          <cell r="V19">
            <v>3</v>
          </cell>
          <cell r="W19">
            <v>1285790</v>
          </cell>
          <cell r="X19">
            <v>0.13400000000000001</v>
          </cell>
          <cell r="Y19">
            <v>0.11</v>
          </cell>
          <cell r="Z19">
            <v>221</v>
          </cell>
          <cell r="AA19">
            <v>98</v>
          </cell>
          <cell r="AB19">
            <v>0.1004</v>
          </cell>
          <cell r="AC19">
            <v>0</v>
          </cell>
          <cell r="AD19">
            <v>0</v>
          </cell>
        </row>
        <row r="20">
          <cell r="A20">
            <v>204</v>
          </cell>
          <cell r="B20" t="str">
            <v>204 - Bonner Springs</v>
          </cell>
          <cell r="C20" t="str">
            <v>Wyandotte</v>
          </cell>
          <cell r="D20">
            <v>146730308</v>
          </cell>
          <cell r="E20">
            <v>136071293</v>
          </cell>
          <cell r="F20">
            <v>144984100</v>
          </cell>
          <cell r="G20">
            <v>134311073</v>
          </cell>
          <cell r="H20">
            <v>2334.3000000000002</v>
          </cell>
          <cell r="I20">
            <v>2356.5</v>
          </cell>
          <cell r="J20">
            <v>38</v>
          </cell>
          <cell r="K20">
            <v>14149972</v>
          </cell>
          <cell r="L20">
            <v>207</v>
          </cell>
          <cell r="M20">
            <v>0</v>
          </cell>
          <cell r="N20">
            <v>1821557</v>
          </cell>
          <cell r="O20">
            <v>2047699</v>
          </cell>
          <cell r="P20">
            <v>664486</v>
          </cell>
          <cell r="Q20">
            <v>243197</v>
          </cell>
          <cell r="R20">
            <v>425838</v>
          </cell>
          <cell r="U20">
            <v>399713</v>
          </cell>
          <cell r="V20">
            <v>0</v>
          </cell>
          <cell r="W20">
            <v>2016420</v>
          </cell>
          <cell r="X20">
            <v>0.38300000000000001</v>
          </cell>
          <cell r="Y20">
            <v>0.36599999999999999</v>
          </cell>
          <cell r="Z20">
            <v>911</v>
          </cell>
          <cell r="AA20">
            <v>313</v>
          </cell>
          <cell r="AB20">
            <v>0.43509999999999999</v>
          </cell>
          <cell r="AC20">
            <v>0.05</v>
          </cell>
          <cell r="AD20">
            <v>0.25</v>
          </cell>
        </row>
        <row r="21">
          <cell r="A21">
            <v>205</v>
          </cell>
          <cell r="B21" t="str">
            <v>205 - Bluestem</v>
          </cell>
          <cell r="C21" t="str">
            <v>Butler</v>
          </cell>
          <cell r="D21">
            <v>28531723</v>
          </cell>
          <cell r="E21">
            <v>24913790</v>
          </cell>
          <cell r="F21">
            <v>29801408</v>
          </cell>
          <cell r="G21">
            <v>26166220</v>
          </cell>
          <cell r="H21">
            <v>517</v>
          </cell>
          <cell r="I21">
            <v>503.2</v>
          </cell>
          <cell r="J21">
            <v>348.6</v>
          </cell>
          <cell r="K21">
            <v>4279519</v>
          </cell>
          <cell r="L21">
            <v>46</v>
          </cell>
          <cell r="M21">
            <v>0</v>
          </cell>
          <cell r="N21">
            <v>519676</v>
          </cell>
          <cell r="O21">
            <v>590572</v>
          </cell>
          <cell r="P21">
            <v>227494</v>
          </cell>
          <cell r="Q21">
            <v>80827</v>
          </cell>
          <cell r="R21">
            <v>141527</v>
          </cell>
          <cell r="U21">
            <v>157929</v>
          </cell>
          <cell r="V21">
            <v>0</v>
          </cell>
          <cell r="W21">
            <v>606474</v>
          </cell>
          <cell r="X21">
            <v>0.33100000000000002</v>
          </cell>
          <cell r="Y21">
            <v>0.28499999999999998</v>
          </cell>
          <cell r="Z21">
            <v>177</v>
          </cell>
          <cell r="AA21">
            <v>59</v>
          </cell>
          <cell r="AB21">
            <v>0.45390000000000003</v>
          </cell>
          <cell r="AC21">
            <v>7.0000000000000007E-2</v>
          </cell>
          <cell r="AD21">
            <v>0.27</v>
          </cell>
        </row>
        <row r="22">
          <cell r="A22">
            <v>206</v>
          </cell>
          <cell r="B22" t="str">
            <v>206 - Remington-Whitewater</v>
          </cell>
          <cell r="C22" t="str">
            <v>Butler</v>
          </cell>
          <cell r="D22">
            <v>33819855</v>
          </cell>
          <cell r="E22">
            <v>30754526</v>
          </cell>
          <cell r="F22">
            <v>40727044</v>
          </cell>
          <cell r="G22">
            <v>37649412</v>
          </cell>
          <cell r="H22">
            <v>511</v>
          </cell>
          <cell r="I22">
            <v>516</v>
          </cell>
          <cell r="J22">
            <v>253</v>
          </cell>
          <cell r="K22">
            <v>4122433</v>
          </cell>
          <cell r="L22">
            <v>34</v>
          </cell>
          <cell r="M22">
            <v>0</v>
          </cell>
          <cell r="N22">
            <v>499090</v>
          </cell>
          <cell r="O22">
            <v>568826</v>
          </cell>
          <cell r="P22">
            <v>197931</v>
          </cell>
          <cell r="Q22">
            <v>71887</v>
          </cell>
          <cell r="R22">
            <v>125874</v>
          </cell>
          <cell r="U22">
            <v>97130</v>
          </cell>
          <cell r="V22">
            <v>0</v>
          </cell>
          <cell r="W22">
            <v>531708</v>
          </cell>
          <cell r="X22">
            <v>0.29399999999999998</v>
          </cell>
          <cell r="Y22">
            <v>0.253</v>
          </cell>
          <cell r="Z22">
            <v>153</v>
          </cell>
          <cell r="AA22">
            <v>67</v>
          </cell>
          <cell r="AB22">
            <v>0.26550000000000001</v>
          </cell>
          <cell r="AC22">
            <v>0</v>
          </cell>
          <cell r="AD22">
            <v>7.0000000000000007E-2</v>
          </cell>
        </row>
        <row r="23">
          <cell r="A23">
            <v>207</v>
          </cell>
          <cell r="B23" t="str">
            <v>207 - Ft. Leavenworth</v>
          </cell>
          <cell r="C23" t="str">
            <v>Leavenworth</v>
          </cell>
          <cell r="D23">
            <v>2331995</v>
          </cell>
          <cell r="E23">
            <v>2331995</v>
          </cell>
          <cell r="F23">
            <v>2434873</v>
          </cell>
          <cell r="G23">
            <v>2434873</v>
          </cell>
          <cell r="H23">
            <v>2065</v>
          </cell>
          <cell r="I23">
            <v>2020.5</v>
          </cell>
          <cell r="J23">
            <v>8.5</v>
          </cell>
          <cell r="K23">
            <v>10531869</v>
          </cell>
          <cell r="L23">
            <v>107</v>
          </cell>
          <cell r="M23">
            <v>0</v>
          </cell>
          <cell r="N23">
            <v>1155652</v>
          </cell>
          <cell r="O23">
            <v>1217970</v>
          </cell>
          <cell r="P23">
            <v>450724</v>
          </cell>
          <cell r="Q23">
            <v>177527</v>
          </cell>
          <cell r="R23">
            <v>310850</v>
          </cell>
          <cell r="U23">
            <v>729784</v>
          </cell>
          <cell r="V23">
            <v>0</v>
          </cell>
          <cell r="W23">
            <v>1239600</v>
          </cell>
          <cell r="X23">
            <v>5.3999999999999999E-2</v>
          </cell>
          <cell r="Y23">
            <v>5.7000000000000002E-2</v>
          </cell>
          <cell r="Z23">
            <v>120</v>
          </cell>
          <cell r="AA23">
            <v>96</v>
          </cell>
          <cell r="AB23">
            <v>0.98839999999999995</v>
          </cell>
          <cell r="AC23">
            <v>0.63</v>
          </cell>
          <cell r="AD23">
            <v>0.83</v>
          </cell>
        </row>
        <row r="24">
          <cell r="A24">
            <v>208</v>
          </cell>
          <cell r="B24" t="str">
            <v>208 - WaKeeney</v>
          </cell>
          <cell r="C24" t="str">
            <v>Trego</v>
          </cell>
          <cell r="D24">
            <v>33665670</v>
          </cell>
          <cell r="E24">
            <v>30666379</v>
          </cell>
          <cell r="F24">
            <v>37383306</v>
          </cell>
          <cell r="G24">
            <v>34364527</v>
          </cell>
          <cell r="H24">
            <v>411.2</v>
          </cell>
          <cell r="I24">
            <v>374</v>
          </cell>
          <cell r="J24">
            <v>706.7</v>
          </cell>
          <cell r="K24">
            <v>3145269</v>
          </cell>
          <cell r="L24">
            <v>17</v>
          </cell>
          <cell r="M24">
            <v>0</v>
          </cell>
          <cell r="N24">
            <v>477583</v>
          </cell>
          <cell r="O24">
            <v>492703</v>
          </cell>
          <cell r="P24">
            <v>160999</v>
          </cell>
          <cell r="Q24">
            <v>59178</v>
          </cell>
          <cell r="R24">
            <v>103621</v>
          </cell>
          <cell r="U24">
            <v>31041</v>
          </cell>
          <cell r="V24">
            <v>0</v>
          </cell>
          <cell r="W24">
            <v>509998</v>
          </cell>
          <cell r="X24">
            <v>0.19900000000000001</v>
          </cell>
          <cell r="Y24">
            <v>0.248</v>
          </cell>
          <cell r="Z24">
            <v>82</v>
          </cell>
          <cell r="AA24">
            <v>45</v>
          </cell>
          <cell r="AB24">
            <v>4.8599999999999997E-2</v>
          </cell>
          <cell r="AC24">
            <v>0</v>
          </cell>
          <cell r="AD24">
            <v>0</v>
          </cell>
        </row>
        <row r="25">
          <cell r="A25">
            <v>209</v>
          </cell>
          <cell r="B25" t="str">
            <v>209 - Moscow</v>
          </cell>
          <cell r="C25" t="str">
            <v>Stevens</v>
          </cell>
          <cell r="D25">
            <v>108318942</v>
          </cell>
          <cell r="E25">
            <v>107765629</v>
          </cell>
          <cell r="F25">
            <v>67735840</v>
          </cell>
          <cell r="G25">
            <v>67181720</v>
          </cell>
          <cell r="H25">
            <v>182.8</v>
          </cell>
          <cell r="I25">
            <v>176.5</v>
          </cell>
          <cell r="J25">
            <v>223</v>
          </cell>
          <cell r="K25">
            <v>1784237</v>
          </cell>
          <cell r="L25">
            <v>15</v>
          </cell>
          <cell r="M25">
            <v>0</v>
          </cell>
          <cell r="N25">
            <v>107261</v>
          </cell>
          <cell r="O25">
            <v>97329</v>
          </cell>
          <cell r="P25">
            <v>98331</v>
          </cell>
          <cell r="Q25">
            <v>36829</v>
          </cell>
          <cell r="R25">
            <v>64488</v>
          </cell>
          <cell r="U25">
            <v>0</v>
          </cell>
          <cell r="V25">
            <v>0</v>
          </cell>
          <cell r="W25">
            <v>138161</v>
          </cell>
          <cell r="X25">
            <v>0.505</v>
          </cell>
          <cell r="Y25">
            <v>0.48599999999999999</v>
          </cell>
          <cell r="Z25">
            <v>97</v>
          </cell>
          <cell r="AA25">
            <v>17</v>
          </cell>
          <cell r="AB25">
            <v>0</v>
          </cell>
          <cell r="AC25">
            <v>0</v>
          </cell>
          <cell r="AD25">
            <v>0</v>
          </cell>
        </row>
        <row r="26">
          <cell r="A26">
            <v>210</v>
          </cell>
          <cell r="B26" t="str">
            <v>210 - Hugoton</v>
          </cell>
          <cell r="C26" t="str">
            <v>Stevens</v>
          </cell>
          <cell r="D26">
            <v>334274235</v>
          </cell>
          <cell r="E26">
            <v>330343547</v>
          </cell>
          <cell r="F26">
            <v>219650550</v>
          </cell>
          <cell r="G26">
            <v>215700924</v>
          </cell>
          <cell r="H26">
            <v>965.4</v>
          </cell>
          <cell r="I26">
            <v>979.3</v>
          </cell>
          <cell r="J26">
            <v>575</v>
          </cell>
          <cell r="K26">
            <v>7020852</v>
          </cell>
          <cell r="L26">
            <v>52</v>
          </cell>
          <cell r="M26">
            <v>0</v>
          </cell>
          <cell r="N26">
            <v>497960</v>
          </cell>
          <cell r="O26">
            <v>529537</v>
          </cell>
          <cell r="P26">
            <v>326306</v>
          </cell>
          <cell r="Q26">
            <v>130671</v>
          </cell>
          <cell r="R26">
            <v>228805</v>
          </cell>
          <cell r="U26">
            <v>0</v>
          </cell>
          <cell r="V26">
            <v>0</v>
          </cell>
          <cell r="W26">
            <v>622779</v>
          </cell>
          <cell r="X26">
            <v>0.45600000000000002</v>
          </cell>
          <cell r="Y26">
            <v>0.5</v>
          </cell>
          <cell r="Z26">
            <v>458</v>
          </cell>
          <cell r="AA26">
            <v>192</v>
          </cell>
          <cell r="AB26">
            <v>0</v>
          </cell>
          <cell r="AC26">
            <v>0</v>
          </cell>
          <cell r="AD26">
            <v>0</v>
          </cell>
        </row>
        <row r="27">
          <cell r="A27">
            <v>211</v>
          </cell>
          <cell r="B27" t="str">
            <v>211 - Norton</v>
          </cell>
          <cell r="C27" t="str">
            <v>Norton</v>
          </cell>
          <cell r="D27">
            <v>33470232</v>
          </cell>
          <cell r="E27">
            <v>29470795</v>
          </cell>
          <cell r="F27">
            <v>33135627</v>
          </cell>
          <cell r="G27">
            <v>29110265</v>
          </cell>
          <cell r="H27">
            <v>688.9</v>
          </cell>
          <cell r="I27">
            <v>725.8</v>
          </cell>
          <cell r="J27">
            <v>678</v>
          </cell>
          <cell r="K27">
            <v>5523764</v>
          </cell>
          <cell r="L27">
            <v>50</v>
          </cell>
          <cell r="M27">
            <v>0</v>
          </cell>
          <cell r="N27">
            <v>752518</v>
          </cell>
          <cell r="O27">
            <v>804977</v>
          </cell>
          <cell r="P27">
            <v>252945</v>
          </cell>
          <cell r="Q27">
            <v>94727</v>
          </cell>
          <cell r="R27">
            <v>165868</v>
          </cell>
          <cell r="U27">
            <v>211477</v>
          </cell>
          <cell r="V27">
            <v>0</v>
          </cell>
          <cell r="W27">
            <v>866534</v>
          </cell>
          <cell r="X27">
            <v>0.30199999999999999</v>
          </cell>
          <cell r="Y27">
            <v>0.308</v>
          </cell>
          <cell r="Z27">
            <v>219</v>
          </cell>
          <cell r="AA27">
            <v>117</v>
          </cell>
          <cell r="AB27">
            <v>0.66359999999999997</v>
          </cell>
          <cell r="AC27">
            <v>0.28000000000000003</v>
          </cell>
          <cell r="AD27">
            <v>0.48</v>
          </cell>
        </row>
        <row r="28">
          <cell r="A28">
            <v>212</v>
          </cell>
          <cell r="B28" t="str">
            <v>212 - Northern Valley</v>
          </cell>
          <cell r="C28" t="str">
            <v>Norton</v>
          </cell>
          <cell r="D28">
            <v>9023219</v>
          </cell>
          <cell r="E28">
            <v>8210131</v>
          </cell>
          <cell r="F28">
            <v>9056252</v>
          </cell>
          <cell r="G28">
            <v>8241896</v>
          </cell>
          <cell r="H28">
            <v>192.5</v>
          </cell>
          <cell r="I28">
            <v>199</v>
          </cell>
          <cell r="J28">
            <v>263</v>
          </cell>
          <cell r="K28">
            <v>1964563</v>
          </cell>
          <cell r="L28">
            <v>6</v>
          </cell>
          <cell r="M28">
            <v>0</v>
          </cell>
          <cell r="N28">
            <v>218570</v>
          </cell>
          <cell r="O28">
            <v>218044</v>
          </cell>
          <cell r="P28">
            <v>94549</v>
          </cell>
          <cell r="Q28">
            <v>35154</v>
          </cell>
          <cell r="R28">
            <v>61555</v>
          </cell>
          <cell r="U28">
            <v>70331</v>
          </cell>
          <cell r="V28">
            <v>0</v>
          </cell>
          <cell r="W28">
            <v>247100</v>
          </cell>
          <cell r="X28">
            <v>0.55200000000000005</v>
          </cell>
          <cell r="Y28">
            <v>0.46700000000000003</v>
          </cell>
          <cell r="Z28">
            <v>111</v>
          </cell>
          <cell r="AA28">
            <v>34</v>
          </cell>
          <cell r="AB28">
            <v>0.56779999999999997</v>
          </cell>
          <cell r="AC28">
            <v>0.19</v>
          </cell>
          <cell r="AD28">
            <v>0.39</v>
          </cell>
        </row>
        <row r="29">
          <cell r="A29">
            <v>214</v>
          </cell>
          <cell r="B29" t="str">
            <v>214 - Ulysses</v>
          </cell>
          <cell r="C29" t="str">
            <v>Grant</v>
          </cell>
          <cell r="D29">
            <v>333884637</v>
          </cell>
          <cell r="E29">
            <v>328098280</v>
          </cell>
          <cell r="F29">
            <v>253554549</v>
          </cell>
          <cell r="G29">
            <v>247740986</v>
          </cell>
          <cell r="H29">
            <v>1567.2</v>
          </cell>
          <cell r="I29">
            <v>1565.4</v>
          </cell>
          <cell r="J29">
            <v>517</v>
          </cell>
          <cell r="K29">
            <v>9881476</v>
          </cell>
          <cell r="L29">
            <v>97</v>
          </cell>
          <cell r="M29">
            <v>0</v>
          </cell>
          <cell r="N29">
            <v>808305</v>
          </cell>
          <cell r="O29">
            <v>790115</v>
          </cell>
          <cell r="P29">
            <v>479565</v>
          </cell>
          <cell r="Q29">
            <v>186298</v>
          </cell>
          <cell r="R29">
            <v>326207</v>
          </cell>
          <cell r="U29">
            <v>0</v>
          </cell>
          <cell r="V29">
            <v>0</v>
          </cell>
          <cell r="W29">
            <v>994230</v>
          </cell>
          <cell r="X29">
            <v>0.49399999999999999</v>
          </cell>
          <cell r="Y29">
            <v>0.5</v>
          </cell>
          <cell r="Z29">
            <v>789</v>
          </cell>
          <cell r="AA29">
            <v>188</v>
          </cell>
          <cell r="AB29">
            <v>0</v>
          </cell>
          <cell r="AC29">
            <v>0</v>
          </cell>
          <cell r="AD29">
            <v>0</v>
          </cell>
        </row>
        <row r="30">
          <cell r="A30">
            <v>215</v>
          </cell>
          <cell r="B30" t="str">
            <v>215 - Lakin</v>
          </cell>
          <cell r="C30" t="str">
            <v>Kearny</v>
          </cell>
          <cell r="D30">
            <v>204870192</v>
          </cell>
          <cell r="E30">
            <v>202526713</v>
          </cell>
          <cell r="F30">
            <v>138157045</v>
          </cell>
          <cell r="G30">
            <v>135798165</v>
          </cell>
          <cell r="H30">
            <v>622</v>
          </cell>
          <cell r="I30">
            <v>587.5</v>
          </cell>
          <cell r="J30">
            <v>645</v>
          </cell>
          <cell r="K30">
            <v>4670069</v>
          </cell>
          <cell r="L30">
            <v>17</v>
          </cell>
          <cell r="M30">
            <v>0</v>
          </cell>
          <cell r="N30">
            <v>335078</v>
          </cell>
          <cell r="O30">
            <v>329714</v>
          </cell>
          <cell r="P30">
            <v>242647</v>
          </cell>
          <cell r="Q30">
            <v>90024</v>
          </cell>
          <cell r="R30">
            <v>157632</v>
          </cell>
          <cell r="U30">
            <v>0</v>
          </cell>
          <cell r="V30">
            <v>0</v>
          </cell>
          <cell r="W30">
            <v>396551</v>
          </cell>
          <cell r="X30">
            <v>0.442</v>
          </cell>
          <cell r="Y30">
            <v>0.46</v>
          </cell>
          <cell r="Z30">
            <v>278</v>
          </cell>
          <cell r="AA30">
            <v>65</v>
          </cell>
          <cell r="AB30">
            <v>0</v>
          </cell>
          <cell r="AC30">
            <v>0</v>
          </cell>
          <cell r="AD30">
            <v>0</v>
          </cell>
        </row>
        <row r="31">
          <cell r="A31">
            <v>216</v>
          </cell>
          <cell r="B31" t="str">
            <v>216 - Deerfield</v>
          </cell>
          <cell r="C31" t="str">
            <v>Kearny</v>
          </cell>
          <cell r="D31">
            <v>67303994</v>
          </cell>
          <cell r="E31">
            <v>66549432</v>
          </cell>
          <cell r="F31">
            <v>53731077</v>
          </cell>
          <cell r="G31">
            <v>52965880</v>
          </cell>
          <cell r="H31">
            <v>240.9</v>
          </cell>
          <cell r="I31">
            <v>291.60000000000002</v>
          </cell>
          <cell r="J31">
            <v>216</v>
          </cell>
          <cell r="K31">
            <v>2458263</v>
          </cell>
          <cell r="L31">
            <v>4</v>
          </cell>
          <cell r="M31">
            <v>0</v>
          </cell>
          <cell r="N31">
            <v>155392</v>
          </cell>
          <cell r="O31">
            <v>139244</v>
          </cell>
          <cell r="P31">
            <v>130256</v>
          </cell>
          <cell r="Q31">
            <v>45689</v>
          </cell>
          <cell r="R31">
            <v>80001</v>
          </cell>
          <cell r="U31">
            <v>0</v>
          </cell>
          <cell r="V31">
            <v>0</v>
          </cell>
          <cell r="W31">
            <v>205889</v>
          </cell>
          <cell r="X31">
            <v>0.57099999999999995</v>
          </cell>
          <cell r="Y31">
            <v>0.57799999999999996</v>
          </cell>
          <cell r="Z31">
            <v>169</v>
          </cell>
          <cell r="AA31">
            <v>43</v>
          </cell>
          <cell r="AB31">
            <v>0</v>
          </cell>
          <cell r="AC31">
            <v>0</v>
          </cell>
          <cell r="AD31">
            <v>0</v>
          </cell>
        </row>
        <row r="32">
          <cell r="A32">
            <v>217</v>
          </cell>
          <cell r="B32" t="str">
            <v>217 - Rolla</v>
          </cell>
          <cell r="C32" t="str">
            <v>Morton</v>
          </cell>
          <cell r="D32">
            <v>92826308</v>
          </cell>
          <cell r="E32">
            <v>92154440</v>
          </cell>
          <cell r="F32">
            <v>70589050</v>
          </cell>
          <cell r="G32">
            <v>69916594</v>
          </cell>
          <cell r="H32">
            <v>199.5</v>
          </cell>
          <cell r="I32">
            <v>193.5</v>
          </cell>
          <cell r="J32">
            <v>252</v>
          </cell>
          <cell r="K32">
            <v>1805115</v>
          </cell>
          <cell r="L32">
            <v>14</v>
          </cell>
          <cell r="M32">
            <v>0</v>
          </cell>
          <cell r="N32">
            <v>119180</v>
          </cell>
          <cell r="O32">
            <v>118751</v>
          </cell>
          <cell r="P32">
            <v>90307</v>
          </cell>
          <cell r="Q32">
            <v>34285</v>
          </cell>
          <cell r="R32">
            <v>60032</v>
          </cell>
          <cell r="U32">
            <v>0</v>
          </cell>
          <cell r="V32">
            <v>0</v>
          </cell>
          <cell r="W32">
            <v>146340</v>
          </cell>
          <cell r="X32">
            <v>0.42099999999999999</v>
          </cell>
          <cell r="Y32">
            <v>0.40500000000000003</v>
          </cell>
          <cell r="Z32">
            <v>84</v>
          </cell>
          <cell r="AA32">
            <v>44</v>
          </cell>
          <cell r="AB32">
            <v>0</v>
          </cell>
          <cell r="AC32">
            <v>0</v>
          </cell>
          <cell r="AD32">
            <v>0</v>
          </cell>
        </row>
        <row r="33">
          <cell r="A33">
            <v>218</v>
          </cell>
          <cell r="B33" t="str">
            <v>218 - Elkhart</v>
          </cell>
          <cell r="C33" t="str">
            <v>Morton</v>
          </cell>
          <cell r="D33">
            <v>84339565</v>
          </cell>
          <cell r="E33">
            <v>82211818</v>
          </cell>
          <cell r="F33">
            <v>64466608</v>
          </cell>
          <cell r="G33">
            <v>62341402</v>
          </cell>
          <cell r="H33">
            <v>521.1</v>
          </cell>
          <cell r="I33">
            <v>549.79999999999995</v>
          </cell>
          <cell r="J33">
            <v>376</v>
          </cell>
          <cell r="K33">
            <v>5464556</v>
          </cell>
          <cell r="L33">
            <v>25</v>
          </cell>
          <cell r="M33">
            <v>0</v>
          </cell>
          <cell r="N33">
            <v>329125</v>
          </cell>
          <cell r="O33">
            <v>320972</v>
          </cell>
          <cell r="P33">
            <v>232261</v>
          </cell>
          <cell r="Q33">
            <v>90427</v>
          </cell>
          <cell r="R33">
            <v>158337</v>
          </cell>
          <cell r="U33">
            <v>0</v>
          </cell>
          <cell r="V33">
            <v>0</v>
          </cell>
          <cell r="W33">
            <v>390789</v>
          </cell>
          <cell r="X33">
            <v>0.53200000000000003</v>
          </cell>
          <cell r="Y33">
            <v>0.47899999999999998</v>
          </cell>
          <cell r="Z33">
            <v>297</v>
          </cell>
          <cell r="AA33">
            <v>78</v>
          </cell>
          <cell r="AB33">
            <v>0.26229999999999998</v>
          </cell>
          <cell r="AC33">
            <v>0</v>
          </cell>
          <cell r="AD33">
            <v>7.0000000000000007E-2</v>
          </cell>
        </row>
        <row r="34">
          <cell r="A34">
            <v>219</v>
          </cell>
          <cell r="B34" t="str">
            <v>219 - Minneola</v>
          </cell>
          <cell r="C34" t="str">
            <v>Clark</v>
          </cell>
          <cell r="D34">
            <v>21886906</v>
          </cell>
          <cell r="E34">
            <v>20971695</v>
          </cell>
          <cell r="F34">
            <v>21811147</v>
          </cell>
          <cell r="G34">
            <v>20903427</v>
          </cell>
          <cell r="H34">
            <v>261.10000000000002</v>
          </cell>
          <cell r="I34">
            <v>266.3</v>
          </cell>
          <cell r="J34">
            <v>292</v>
          </cell>
          <cell r="K34">
            <v>2071649</v>
          </cell>
          <cell r="L34">
            <v>11</v>
          </cell>
          <cell r="M34">
            <v>0</v>
          </cell>
          <cell r="N34">
            <v>193809</v>
          </cell>
          <cell r="O34">
            <v>175292</v>
          </cell>
          <cell r="P34">
            <v>102989</v>
          </cell>
          <cell r="Q34">
            <v>38778</v>
          </cell>
          <cell r="R34">
            <v>67901</v>
          </cell>
          <cell r="U34">
            <v>39237</v>
          </cell>
          <cell r="V34">
            <v>0</v>
          </cell>
          <cell r="W34">
            <v>247823</v>
          </cell>
          <cell r="X34">
            <v>0.33800000000000002</v>
          </cell>
          <cell r="Y34">
            <v>0.29899999999999999</v>
          </cell>
          <cell r="Z34">
            <v>90</v>
          </cell>
          <cell r="AA34">
            <v>34</v>
          </cell>
          <cell r="AB34">
            <v>0.21629999999999999</v>
          </cell>
          <cell r="AC34">
            <v>0</v>
          </cell>
          <cell r="AD34">
            <v>0.02</v>
          </cell>
        </row>
        <row r="35">
          <cell r="A35">
            <v>220</v>
          </cell>
          <cell r="B35" t="str">
            <v>220 - Ashland</v>
          </cell>
          <cell r="C35" t="str">
            <v>Clark</v>
          </cell>
          <cell r="D35">
            <v>35177796</v>
          </cell>
          <cell r="E35">
            <v>34046896</v>
          </cell>
          <cell r="F35">
            <v>29379949</v>
          </cell>
          <cell r="G35">
            <v>28242758</v>
          </cell>
          <cell r="H35">
            <v>220</v>
          </cell>
          <cell r="I35">
            <v>205.5</v>
          </cell>
          <cell r="J35">
            <v>660</v>
          </cell>
          <cell r="K35">
            <v>1847240</v>
          </cell>
          <cell r="L35">
            <v>19</v>
          </cell>
          <cell r="M35">
            <v>0</v>
          </cell>
          <cell r="N35">
            <v>158089</v>
          </cell>
          <cell r="O35">
            <v>151218</v>
          </cell>
          <cell r="P35">
            <v>93127</v>
          </cell>
          <cell r="Q35">
            <v>35082</v>
          </cell>
          <cell r="R35">
            <v>61428</v>
          </cell>
          <cell r="U35">
            <v>0</v>
          </cell>
          <cell r="V35">
            <v>0</v>
          </cell>
          <cell r="W35">
            <v>198681</v>
          </cell>
          <cell r="X35">
            <v>0.27100000000000002</v>
          </cell>
          <cell r="Y35">
            <v>0.312</v>
          </cell>
          <cell r="Z35">
            <v>60</v>
          </cell>
          <cell r="AA35">
            <v>41</v>
          </cell>
          <cell r="AB35">
            <v>0</v>
          </cell>
          <cell r="AC35">
            <v>0</v>
          </cell>
          <cell r="AD35">
            <v>0</v>
          </cell>
        </row>
        <row r="36">
          <cell r="A36">
            <v>223</v>
          </cell>
          <cell r="B36" t="str">
            <v>223 - Barnes</v>
          </cell>
          <cell r="C36" t="str">
            <v>Washington</v>
          </cell>
          <cell r="D36">
            <v>25541558</v>
          </cell>
          <cell r="E36">
            <v>23233187</v>
          </cell>
          <cell r="F36">
            <v>26490862</v>
          </cell>
          <cell r="G36">
            <v>24127558</v>
          </cell>
          <cell r="H36">
            <v>329.7</v>
          </cell>
          <cell r="I36">
            <v>343.3</v>
          </cell>
          <cell r="J36">
            <v>378</v>
          </cell>
          <cell r="K36">
            <v>2796057</v>
          </cell>
          <cell r="L36">
            <v>10</v>
          </cell>
          <cell r="M36">
            <v>0</v>
          </cell>
          <cell r="N36">
            <v>395117</v>
          </cell>
          <cell r="O36">
            <v>411854</v>
          </cell>
          <cell r="P36">
            <v>134454</v>
          </cell>
          <cell r="Q36">
            <v>47887</v>
          </cell>
          <cell r="R36">
            <v>83850</v>
          </cell>
          <cell r="U36">
            <v>68199</v>
          </cell>
          <cell r="V36">
            <v>0</v>
          </cell>
          <cell r="W36">
            <v>427159</v>
          </cell>
          <cell r="X36">
            <v>0.28299999999999997</v>
          </cell>
          <cell r="Y36">
            <v>0.23799999999999999</v>
          </cell>
          <cell r="Z36">
            <v>97</v>
          </cell>
          <cell r="AA36">
            <v>52</v>
          </cell>
          <cell r="AB36">
            <v>0.27300000000000002</v>
          </cell>
          <cell r="AC36">
            <v>0</v>
          </cell>
          <cell r="AD36">
            <v>0.08</v>
          </cell>
        </row>
        <row r="37">
          <cell r="A37">
            <v>224</v>
          </cell>
          <cell r="B37" t="str">
            <v>224 - Clifton-Clyde</v>
          </cell>
          <cell r="C37" t="str">
            <v>Washington</v>
          </cell>
          <cell r="D37">
            <v>22668602</v>
          </cell>
          <cell r="E37">
            <v>20784945</v>
          </cell>
          <cell r="F37">
            <v>22216714</v>
          </cell>
          <cell r="G37">
            <v>20315706</v>
          </cell>
          <cell r="H37">
            <v>276</v>
          </cell>
          <cell r="I37">
            <v>282.5</v>
          </cell>
          <cell r="J37">
            <v>255</v>
          </cell>
          <cell r="K37">
            <v>2381491</v>
          </cell>
          <cell r="L37">
            <v>7</v>
          </cell>
          <cell r="M37">
            <v>0</v>
          </cell>
          <cell r="N37">
            <v>296286</v>
          </cell>
          <cell r="O37">
            <v>295455</v>
          </cell>
          <cell r="P37">
            <v>117486</v>
          </cell>
          <cell r="Q37">
            <v>41992</v>
          </cell>
          <cell r="R37">
            <v>73528</v>
          </cell>
          <cell r="U37">
            <v>40967</v>
          </cell>
          <cell r="V37">
            <v>0</v>
          </cell>
          <cell r="W37">
            <v>347858</v>
          </cell>
          <cell r="X37">
            <v>0.308</v>
          </cell>
          <cell r="Y37">
            <v>0.217</v>
          </cell>
          <cell r="Z37">
            <v>88</v>
          </cell>
          <cell r="AA37">
            <v>32</v>
          </cell>
          <cell r="AB37">
            <v>0.25340000000000001</v>
          </cell>
          <cell r="AC37">
            <v>0</v>
          </cell>
          <cell r="AD37">
            <v>0.06</v>
          </cell>
        </row>
        <row r="38">
          <cell r="A38">
            <v>225</v>
          </cell>
          <cell r="B38" t="str">
            <v>225 - Fowler</v>
          </cell>
          <cell r="C38" t="str">
            <v>Meade</v>
          </cell>
          <cell r="D38">
            <v>13791187</v>
          </cell>
          <cell r="E38">
            <v>12973284</v>
          </cell>
          <cell r="F38">
            <v>13205575</v>
          </cell>
          <cell r="G38">
            <v>12382189</v>
          </cell>
          <cell r="H38">
            <v>157.5</v>
          </cell>
          <cell r="I38">
            <v>163.5</v>
          </cell>
          <cell r="J38">
            <v>281</v>
          </cell>
          <cell r="K38">
            <v>1520863</v>
          </cell>
          <cell r="L38">
            <v>11</v>
          </cell>
          <cell r="M38">
            <v>0</v>
          </cell>
          <cell r="N38">
            <v>107435</v>
          </cell>
          <cell r="O38">
            <v>106750</v>
          </cell>
          <cell r="P38">
            <v>80292</v>
          </cell>
          <cell r="Q38">
            <v>28921</v>
          </cell>
          <cell r="R38">
            <v>50640</v>
          </cell>
          <cell r="U38">
            <v>27132</v>
          </cell>
          <cell r="V38">
            <v>0</v>
          </cell>
          <cell r="W38">
            <v>152787</v>
          </cell>
          <cell r="X38">
            <v>0.46400000000000002</v>
          </cell>
          <cell r="Y38">
            <v>0.45</v>
          </cell>
          <cell r="Z38">
            <v>77</v>
          </cell>
          <cell r="AA38">
            <v>25</v>
          </cell>
          <cell r="AB38">
            <v>0.23680000000000001</v>
          </cell>
          <cell r="AC38">
            <v>0</v>
          </cell>
          <cell r="AD38">
            <v>0.04</v>
          </cell>
        </row>
        <row r="39">
          <cell r="A39">
            <v>226</v>
          </cell>
          <cell r="B39" t="str">
            <v>226 - Meade</v>
          </cell>
          <cell r="C39" t="str">
            <v>Meade</v>
          </cell>
          <cell r="D39">
            <v>66561959</v>
          </cell>
          <cell r="E39">
            <v>64621022</v>
          </cell>
          <cell r="F39">
            <v>54572996</v>
          </cell>
          <cell r="G39">
            <v>52619774</v>
          </cell>
          <cell r="H39">
            <v>471.2</v>
          </cell>
          <cell r="I39">
            <v>447.5</v>
          </cell>
          <cell r="J39">
            <v>440</v>
          </cell>
          <cell r="K39">
            <v>3400387</v>
          </cell>
          <cell r="L39">
            <v>20</v>
          </cell>
          <cell r="M39">
            <v>0</v>
          </cell>
          <cell r="N39">
            <v>315996</v>
          </cell>
          <cell r="O39">
            <v>335361</v>
          </cell>
          <cell r="P39">
            <v>170445</v>
          </cell>
          <cell r="Q39">
            <v>64156</v>
          </cell>
          <cell r="R39">
            <v>112336</v>
          </cell>
          <cell r="U39">
            <v>0</v>
          </cell>
          <cell r="V39">
            <v>0</v>
          </cell>
          <cell r="W39">
            <v>393594</v>
          </cell>
          <cell r="X39">
            <v>0.27700000000000002</v>
          </cell>
          <cell r="Y39">
            <v>0.34499999999999997</v>
          </cell>
          <cell r="Z39">
            <v>131</v>
          </cell>
          <cell r="AA39">
            <v>72</v>
          </cell>
          <cell r="AB39">
            <v>0</v>
          </cell>
          <cell r="AC39">
            <v>0</v>
          </cell>
          <cell r="AD39">
            <v>0</v>
          </cell>
        </row>
        <row r="40">
          <cell r="A40">
            <v>227</v>
          </cell>
          <cell r="B40" t="str">
            <v>227 - Jetmore</v>
          </cell>
          <cell r="C40" t="str">
            <v>Hodgeman</v>
          </cell>
          <cell r="D40">
            <v>31485650</v>
          </cell>
          <cell r="E40">
            <v>29734457</v>
          </cell>
          <cell r="F40">
            <v>35498094</v>
          </cell>
          <cell r="G40">
            <v>33756784</v>
          </cell>
          <cell r="H40">
            <v>339</v>
          </cell>
          <cell r="I40">
            <v>306</v>
          </cell>
          <cell r="J40">
            <v>807.5</v>
          </cell>
          <cell r="K40">
            <v>2851569</v>
          </cell>
          <cell r="L40">
            <v>25</v>
          </cell>
          <cell r="M40">
            <v>0</v>
          </cell>
          <cell r="N40">
            <v>239739</v>
          </cell>
          <cell r="O40">
            <v>252822</v>
          </cell>
          <cell r="P40">
            <v>144163</v>
          </cell>
          <cell r="Q40">
            <v>53951</v>
          </cell>
          <cell r="R40">
            <v>94469</v>
          </cell>
          <cell r="U40">
            <v>13389</v>
          </cell>
          <cell r="V40">
            <v>0</v>
          </cell>
          <cell r="W40">
            <v>320652</v>
          </cell>
          <cell r="X40">
            <v>0.26200000000000001</v>
          </cell>
          <cell r="Y40">
            <v>0.31</v>
          </cell>
          <cell r="Z40">
            <v>90</v>
          </cell>
          <cell r="AA40">
            <v>43</v>
          </cell>
          <cell r="AB40">
            <v>0.1234</v>
          </cell>
          <cell r="AC40">
            <v>0</v>
          </cell>
          <cell r="AD40">
            <v>0</v>
          </cell>
        </row>
        <row r="41">
          <cell r="A41">
            <v>229</v>
          </cell>
          <cell r="B41" t="str">
            <v>229 - Blue Valley</v>
          </cell>
          <cell r="C41" t="str">
            <v>Johnson</v>
          </cell>
          <cell r="D41">
            <v>2341368923</v>
          </cell>
          <cell r="E41">
            <v>2262109930</v>
          </cell>
          <cell r="F41">
            <v>2221633611</v>
          </cell>
          <cell r="G41">
            <v>2142156953</v>
          </cell>
          <cell r="H41">
            <v>20307.599999999999</v>
          </cell>
          <cell r="I41">
            <v>20592</v>
          </cell>
          <cell r="J41">
            <v>91</v>
          </cell>
          <cell r="K41">
            <v>127008801</v>
          </cell>
          <cell r="L41">
            <v>732</v>
          </cell>
          <cell r="M41">
            <v>0</v>
          </cell>
          <cell r="N41">
            <v>15490343</v>
          </cell>
          <cell r="O41">
            <v>16985226</v>
          </cell>
          <cell r="P41">
            <v>5143255</v>
          </cell>
          <cell r="Q41">
            <v>2033757</v>
          </cell>
          <cell r="R41">
            <v>3561103</v>
          </cell>
          <cell r="U41">
            <v>0</v>
          </cell>
          <cell r="V41">
            <v>5</v>
          </cell>
          <cell r="W41">
            <v>19935033</v>
          </cell>
          <cell r="X41">
            <v>5.0999999999999997E-2</v>
          </cell>
          <cell r="Y41">
            <v>4.2999999999999997E-2</v>
          </cell>
          <cell r="Z41">
            <v>1059</v>
          </cell>
          <cell r="AA41">
            <v>516</v>
          </cell>
          <cell r="AB41">
            <v>0</v>
          </cell>
          <cell r="AC41">
            <v>0</v>
          </cell>
          <cell r="AD41">
            <v>0</v>
          </cell>
        </row>
        <row r="42">
          <cell r="A42">
            <v>230</v>
          </cell>
          <cell r="B42" t="str">
            <v>230 - Spring Hill</v>
          </cell>
          <cell r="C42" t="str">
            <v>Johnson</v>
          </cell>
          <cell r="D42">
            <v>127733446</v>
          </cell>
          <cell r="E42">
            <v>119191727</v>
          </cell>
          <cell r="F42">
            <v>122070834</v>
          </cell>
          <cell r="G42">
            <v>113272172</v>
          </cell>
          <cell r="H42">
            <v>1921.8</v>
          </cell>
          <cell r="I42">
            <v>2034.1</v>
          </cell>
          <cell r="J42">
            <v>71</v>
          </cell>
          <cell r="K42">
            <v>16666502</v>
          </cell>
          <cell r="L42">
            <v>97</v>
          </cell>
          <cell r="M42">
            <v>57</v>
          </cell>
          <cell r="N42">
            <v>1435446</v>
          </cell>
          <cell r="O42">
            <v>1612459</v>
          </cell>
          <cell r="P42">
            <v>601228</v>
          </cell>
          <cell r="Q42">
            <v>270225</v>
          </cell>
          <cell r="R42">
            <v>473164</v>
          </cell>
          <cell r="U42">
            <v>518761</v>
          </cell>
          <cell r="V42">
            <v>3.1</v>
          </cell>
          <cell r="W42">
            <v>1621297</v>
          </cell>
          <cell r="X42">
            <v>0.214</v>
          </cell>
          <cell r="Y42">
            <v>0.183</v>
          </cell>
          <cell r="Z42">
            <v>436</v>
          </cell>
          <cell r="AA42">
            <v>171</v>
          </cell>
          <cell r="AB42">
            <v>0.62980000000000003</v>
          </cell>
          <cell r="AC42">
            <v>0.25</v>
          </cell>
          <cell r="AD42">
            <v>0.45</v>
          </cell>
        </row>
        <row r="43">
          <cell r="A43">
            <v>231</v>
          </cell>
          <cell r="B43" t="str">
            <v>231 - Gardner-Edgerton</v>
          </cell>
          <cell r="C43" t="str">
            <v>Johnson</v>
          </cell>
          <cell r="D43">
            <v>241950312</v>
          </cell>
          <cell r="E43">
            <v>224414513</v>
          </cell>
          <cell r="F43">
            <v>231944678</v>
          </cell>
          <cell r="G43">
            <v>214268378</v>
          </cell>
          <cell r="H43">
            <v>4540.8999999999996</v>
          </cell>
          <cell r="I43">
            <v>4743.3</v>
          </cell>
          <cell r="J43">
            <v>103</v>
          </cell>
          <cell r="K43">
            <v>27031836</v>
          </cell>
          <cell r="L43">
            <v>153</v>
          </cell>
          <cell r="M43">
            <v>0</v>
          </cell>
          <cell r="N43">
            <v>4089953</v>
          </cell>
          <cell r="O43">
            <v>4492287</v>
          </cell>
          <cell r="P43">
            <v>1172433</v>
          </cell>
          <cell r="Q43">
            <v>440424</v>
          </cell>
          <cell r="R43">
            <v>771181</v>
          </cell>
          <cell r="U43">
            <v>873920</v>
          </cell>
          <cell r="V43">
            <v>0.71</v>
          </cell>
          <cell r="W43">
            <v>4523118</v>
          </cell>
          <cell r="X43">
            <v>0.249</v>
          </cell>
          <cell r="Y43">
            <v>0.24</v>
          </cell>
          <cell r="Z43">
            <v>1181</v>
          </cell>
          <cell r="AA43">
            <v>518</v>
          </cell>
          <cell r="AB43">
            <v>0.53369999999999995</v>
          </cell>
          <cell r="AC43">
            <v>0.15</v>
          </cell>
          <cell r="AD43">
            <v>0.35</v>
          </cell>
        </row>
        <row r="44">
          <cell r="A44">
            <v>232</v>
          </cell>
          <cell r="B44" t="str">
            <v>232 - DeSoto</v>
          </cell>
          <cell r="C44" t="str">
            <v>Johnson</v>
          </cell>
          <cell r="D44">
            <v>391258180</v>
          </cell>
          <cell r="E44">
            <v>368449020</v>
          </cell>
          <cell r="F44">
            <v>375179193</v>
          </cell>
          <cell r="G44">
            <v>352254513</v>
          </cell>
          <cell r="H44">
            <v>6203.2</v>
          </cell>
          <cell r="I44">
            <v>6354</v>
          </cell>
          <cell r="J44">
            <v>100</v>
          </cell>
          <cell r="K44">
            <v>35525126</v>
          </cell>
          <cell r="L44">
            <v>359</v>
          </cell>
          <cell r="M44">
            <v>0</v>
          </cell>
          <cell r="N44">
            <v>4089673</v>
          </cell>
          <cell r="O44">
            <v>4003584</v>
          </cell>
          <cell r="P44">
            <v>1671218</v>
          </cell>
          <cell r="Q44">
            <v>617830</v>
          </cell>
          <cell r="R44">
            <v>1081819</v>
          </cell>
          <cell r="U44">
            <v>1025285</v>
          </cell>
          <cell r="V44">
            <v>5</v>
          </cell>
          <cell r="W44">
            <v>4437654</v>
          </cell>
          <cell r="X44">
            <v>0.109</v>
          </cell>
          <cell r="Y44">
            <v>0.1</v>
          </cell>
          <cell r="Z44">
            <v>691</v>
          </cell>
          <cell r="AA44">
            <v>301</v>
          </cell>
          <cell r="AB44">
            <v>0.43459999999999999</v>
          </cell>
          <cell r="AC44">
            <v>0.05</v>
          </cell>
          <cell r="AD44">
            <v>0.25</v>
          </cell>
        </row>
        <row r="45">
          <cell r="A45">
            <v>233</v>
          </cell>
          <cell r="B45" t="str">
            <v>233 - Olathe</v>
          </cell>
          <cell r="C45" t="str">
            <v>Johnson</v>
          </cell>
          <cell r="D45">
            <v>1808544484</v>
          </cell>
          <cell r="E45">
            <v>1711076897</v>
          </cell>
          <cell r="F45">
            <v>1686030879</v>
          </cell>
          <cell r="G45">
            <v>1587994663</v>
          </cell>
          <cell r="H45">
            <v>25447.5</v>
          </cell>
          <cell r="I45">
            <v>26010.7</v>
          </cell>
          <cell r="J45">
            <v>75.3</v>
          </cell>
          <cell r="K45">
            <v>162250857</v>
          </cell>
          <cell r="L45">
            <v>1166</v>
          </cell>
          <cell r="M45">
            <v>0</v>
          </cell>
          <cell r="N45">
            <v>20781433</v>
          </cell>
          <cell r="O45">
            <v>21757530</v>
          </cell>
          <cell r="P45">
            <v>6743912</v>
          </cell>
          <cell r="Q45">
            <v>2590733</v>
          </cell>
          <cell r="R45">
            <v>4536368</v>
          </cell>
          <cell r="U45">
            <v>3676834</v>
          </cell>
          <cell r="V45">
            <v>4.3099999999999996</v>
          </cell>
          <cell r="W45">
            <v>27522172</v>
          </cell>
          <cell r="X45">
            <v>0.20200000000000001</v>
          </cell>
          <cell r="Y45">
            <v>0.184</v>
          </cell>
          <cell r="Z45">
            <v>5250</v>
          </cell>
          <cell r="AA45">
            <v>1719</v>
          </cell>
          <cell r="AB45">
            <v>0.37880000000000003</v>
          </cell>
          <cell r="AC45">
            <v>0</v>
          </cell>
          <cell r="AD45">
            <v>0.19</v>
          </cell>
        </row>
        <row r="46">
          <cell r="A46">
            <v>234</v>
          </cell>
          <cell r="B46" t="str">
            <v>234 - Ft. Scott</v>
          </cell>
          <cell r="C46" t="str">
            <v>Bourbon</v>
          </cell>
          <cell r="D46">
            <v>76819298</v>
          </cell>
          <cell r="E46">
            <v>65915347</v>
          </cell>
          <cell r="F46">
            <v>76165844</v>
          </cell>
          <cell r="G46">
            <v>65272736</v>
          </cell>
          <cell r="H46">
            <v>1872.8</v>
          </cell>
          <cell r="I46">
            <v>1853.2</v>
          </cell>
          <cell r="J46">
            <v>300</v>
          </cell>
          <cell r="K46">
            <v>11634622</v>
          </cell>
          <cell r="L46">
            <v>101</v>
          </cell>
          <cell r="M46">
            <v>0</v>
          </cell>
          <cell r="N46">
            <v>1012454</v>
          </cell>
          <cell r="O46">
            <v>1032166</v>
          </cell>
          <cell r="P46">
            <v>579449</v>
          </cell>
          <cell r="Q46">
            <v>219141</v>
          </cell>
          <cell r="R46">
            <v>383715</v>
          </cell>
          <cell r="U46">
            <v>359243</v>
          </cell>
          <cell r="V46">
            <v>0</v>
          </cell>
          <cell r="W46">
            <v>1149929</v>
          </cell>
          <cell r="X46">
            <v>0.54</v>
          </cell>
          <cell r="Y46">
            <v>0.503</v>
          </cell>
          <cell r="Z46">
            <v>1029</v>
          </cell>
          <cell r="AA46">
            <v>189</v>
          </cell>
          <cell r="AB46">
            <v>0.6129</v>
          </cell>
          <cell r="AC46">
            <v>0.24</v>
          </cell>
          <cell r="AD46">
            <v>0.44</v>
          </cell>
        </row>
        <row r="47">
          <cell r="A47">
            <v>235</v>
          </cell>
          <cell r="B47" t="str">
            <v>235 - Uniontown</v>
          </cell>
          <cell r="C47" t="str">
            <v>Bourbon</v>
          </cell>
          <cell r="D47">
            <v>13495645</v>
          </cell>
          <cell r="E47">
            <v>11376995</v>
          </cell>
          <cell r="F47">
            <v>12913061</v>
          </cell>
          <cell r="G47">
            <v>10795233</v>
          </cell>
          <cell r="H47">
            <v>430.6</v>
          </cell>
          <cell r="I47">
            <v>444</v>
          </cell>
          <cell r="J47">
            <v>309</v>
          </cell>
          <cell r="K47">
            <v>3694087</v>
          </cell>
          <cell r="L47">
            <v>15</v>
          </cell>
          <cell r="M47">
            <v>0</v>
          </cell>
          <cell r="N47">
            <v>316922</v>
          </cell>
          <cell r="O47">
            <v>346764</v>
          </cell>
          <cell r="P47">
            <v>181204</v>
          </cell>
          <cell r="Q47">
            <v>66838</v>
          </cell>
          <cell r="R47">
            <v>117032</v>
          </cell>
          <cell r="U47">
            <v>114729</v>
          </cell>
          <cell r="V47">
            <v>0</v>
          </cell>
          <cell r="W47">
            <v>371669</v>
          </cell>
          <cell r="X47">
            <v>0.47899999999999998</v>
          </cell>
          <cell r="Y47">
            <v>0.43099999999999999</v>
          </cell>
          <cell r="Z47">
            <v>216</v>
          </cell>
          <cell r="AA47">
            <v>83</v>
          </cell>
          <cell r="AB47">
            <v>0.72529999999999994</v>
          </cell>
          <cell r="AC47">
            <v>0.35</v>
          </cell>
          <cell r="AD47">
            <v>0.55000000000000004</v>
          </cell>
        </row>
        <row r="48">
          <cell r="A48">
            <v>237</v>
          </cell>
          <cell r="B48" t="str">
            <v>237 - Smith Center</v>
          </cell>
          <cell r="C48" t="str">
            <v>Smith</v>
          </cell>
          <cell r="D48">
            <v>23608382</v>
          </cell>
          <cell r="E48">
            <v>20850286</v>
          </cell>
          <cell r="F48">
            <v>23400605</v>
          </cell>
          <cell r="G48">
            <v>20600371</v>
          </cell>
          <cell r="H48">
            <v>433</v>
          </cell>
          <cell r="I48">
            <v>416</v>
          </cell>
          <cell r="J48">
            <v>599</v>
          </cell>
          <cell r="K48">
            <v>3408655</v>
          </cell>
          <cell r="L48">
            <v>29</v>
          </cell>
          <cell r="M48">
            <v>0</v>
          </cell>
          <cell r="N48">
            <v>482909</v>
          </cell>
          <cell r="O48">
            <v>503795</v>
          </cell>
          <cell r="P48">
            <v>171145</v>
          </cell>
          <cell r="Q48">
            <v>61788</v>
          </cell>
          <cell r="R48">
            <v>108190</v>
          </cell>
          <cell r="U48">
            <v>131801</v>
          </cell>
          <cell r="V48">
            <v>0</v>
          </cell>
          <cell r="W48">
            <v>586035</v>
          </cell>
          <cell r="X48">
            <v>0.3</v>
          </cell>
          <cell r="Y48">
            <v>0.29499999999999998</v>
          </cell>
          <cell r="Z48">
            <v>130</v>
          </cell>
          <cell r="AA48">
            <v>66</v>
          </cell>
          <cell r="AB48">
            <v>0.46589999999999998</v>
          </cell>
          <cell r="AC48">
            <v>0.08</v>
          </cell>
          <cell r="AD48">
            <v>0.28000000000000003</v>
          </cell>
        </row>
        <row r="49">
          <cell r="A49">
            <v>239</v>
          </cell>
          <cell r="B49" t="str">
            <v>239 - North Ottawa Co.</v>
          </cell>
          <cell r="C49" t="str">
            <v>Ottawa</v>
          </cell>
          <cell r="D49">
            <v>31606753</v>
          </cell>
          <cell r="E49">
            <v>28341731</v>
          </cell>
          <cell r="F49">
            <v>31575824</v>
          </cell>
          <cell r="G49">
            <v>28319957</v>
          </cell>
          <cell r="H49">
            <v>619.20000000000005</v>
          </cell>
          <cell r="I49">
            <v>608.5</v>
          </cell>
          <cell r="J49">
            <v>418.5</v>
          </cell>
          <cell r="K49">
            <v>4634243</v>
          </cell>
          <cell r="L49">
            <v>37</v>
          </cell>
          <cell r="M49">
            <v>0</v>
          </cell>
          <cell r="N49">
            <v>560195</v>
          </cell>
          <cell r="O49">
            <v>610497</v>
          </cell>
          <cell r="P49">
            <v>208733</v>
          </cell>
          <cell r="Q49">
            <v>82091</v>
          </cell>
          <cell r="R49">
            <v>143742</v>
          </cell>
          <cell r="U49">
            <v>177117</v>
          </cell>
          <cell r="V49">
            <v>0</v>
          </cell>
          <cell r="W49">
            <v>614442</v>
          </cell>
          <cell r="X49">
            <v>0.26300000000000001</v>
          </cell>
          <cell r="Y49">
            <v>0.26800000000000002</v>
          </cell>
          <cell r="Z49">
            <v>163</v>
          </cell>
          <cell r="AA49">
            <v>91</v>
          </cell>
          <cell r="AB49">
            <v>0.50509999999999999</v>
          </cell>
          <cell r="AC49">
            <v>0.12</v>
          </cell>
          <cell r="AD49">
            <v>0.32</v>
          </cell>
        </row>
        <row r="50">
          <cell r="A50">
            <v>240</v>
          </cell>
          <cell r="B50" t="str">
            <v>240 - Twin Valley</v>
          </cell>
          <cell r="C50" t="str">
            <v>Ottawa</v>
          </cell>
          <cell r="D50">
            <v>28181720</v>
          </cell>
          <cell r="E50">
            <v>25740712</v>
          </cell>
          <cell r="F50">
            <v>28091856</v>
          </cell>
          <cell r="G50">
            <v>25647278</v>
          </cell>
          <cell r="H50">
            <v>594.5</v>
          </cell>
          <cell r="I50">
            <v>591.29999999999995</v>
          </cell>
          <cell r="J50">
            <v>269.3</v>
          </cell>
          <cell r="K50">
            <v>4413377</v>
          </cell>
          <cell r="L50">
            <v>45</v>
          </cell>
          <cell r="M50">
            <v>0</v>
          </cell>
          <cell r="N50">
            <v>500085</v>
          </cell>
          <cell r="O50">
            <v>523423</v>
          </cell>
          <cell r="P50">
            <v>218769</v>
          </cell>
          <cell r="Q50">
            <v>81995</v>
          </cell>
          <cell r="R50">
            <v>143572</v>
          </cell>
          <cell r="U50">
            <v>198450</v>
          </cell>
          <cell r="V50">
            <v>0</v>
          </cell>
          <cell r="W50">
            <v>594084</v>
          </cell>
          <cell r="X50">
            <v>0.28000000000000003</v>
          </cell>
          <cell r="Y50">
            <v>0.28899999999999998</v>
          </cell>
          <cell r="Z50">
            <v>170</v>
          </cell>
          <cell r="AA50">
            <v>77</v>
          </cell>
          <cell r="AB50">
            <v>0.55330000000000001</v>
          </cell>
          <cell r="AC50">
            <v>0.17</v>
          </cell>
          <cell r="AD50">
            <v>0.37</v>
          </cell>
        </row>
        <row r="51">
          <cell r="A51">
            <v>241</v>
          </cell>
          <cell r="B51" t="str">
            <v>241 - Wallace</v>
          </cell>
          <cell r="C51" t="str">
            <v>Wallace</v>
          </cell>
          <cell r="D51">
            <v>18531541</v>
          </cell>
          <cell r="E51">
            <v>17325847</v>
          </cell>
          <cell r="F51">
            <v>20140438</v>
          </cell>
          <cell r="G51">
            <v>18944928</v>
          </cell>
          <cell r="H51">
            <v>198.5</v>
          </cell>
          <cell r="I51">
            <v>188</v>
          </cell>
          <cell r="J51">
            <v>681.5</v>
          </cell>
          <cell r="K51">
            <v>1732280</v>
          </cell>
          <cell r="L51">
            <v>3</v>
          </cell>
          <cell r="M51">
            <v>0</v>
          </cell>
          <cell r="N51">
            <v>133336</v>
          </cell>
          <cell r="O51">
            <v>139590</v>
          </cell>
          <cell r="P51">
            <v>90263</v>
          </cell>
          <cell r="Q51">
            <v>32617</v>
          </cell>
          <cell r="R51">
            <v>57113</v>
          </cell>
          <cell r="U51">
            <v>7692</v>
          </cell>
          <cell r="V51">
            <v>0</v>
          </cell>
          <cell r="W51">
            <v>156774</v>
          </cell>
          <cell r="X51">
            <v>0.35799999999999998</v>
          </cell>
          <cell r="Y51">
            <v>0.30299999999999999</v>
          </cell>
          <cell r="Z51">
            <v>71</v>
          </cell>
          <cell r="AA51">
            <v>21</v>
          </cell>
          <cell r="AB51">
            <v>0</v>
          </cell>
          <cell r="AC51">
            <v>0</v>
          </cell>
          <cell r="AD51">
            <v>0</v>
          </cell>
        </row>
        <row r="52">
          <cell r="A52">
            <v>242</v>
          </cell>
          <cell r="B52" t="str">
            <v>242 - Weskan</v>
          </cell>
          <cell r="C52" t="str">
            <v>Wallace</v>
          </cell>
          <cell r="D52">
            <v>6428752</v>
          </cell>
          <cell r="E52">
            <v>6182258</v>
          </cell>
          <cell r="F52">
            <v>7707454</v>
          </cell>
          <cell r="G52">
            <v>7457239</v>
          </cell>
          <cell r="H52">
            <v>103</v>
          </cell>
          <cell r="I52">
            <v>110</v>
          </cell>
          <cell r="J52">
            <v>243</v>
          </cell>
          <cell r="K52">
            <v>1076376</v>
          </cell>
          <cell r="L52">
            <v>3</v>
          </cell>
          <cell r="M52">
            <v>0</v>
          </cell>
          <cell r="N52">
            <v>81813</v>
          </cell>
          <cell r="O52">
            <v>87228</v>
          </cell>
          <cell r="P52">
            <v>54665</v>
          </cell>
          <cell r="Q52">
            <v>19635</v>
          </cell>
          <cell r="R52">
            <v>34381</v>
          </cell>
          <cell r="U52">
            <v>25670</v>
          </cell>
          <cell r="V52">
            <v>0</v>
          </cell>
          <cell r="W52">
            <v>98257</v>
          </cell>
          <cell r="X52">
            <v>0.20899999999999999</v>
          </cell>
          <cell r="Y52">
            <v>0.28699999999999998</v>
          </cell>
          <cell r="Z52">
            <v>23</v>
          </cell>
          <cell r="AA52">
            <v>14</v>
          </cell>
          <cell r="AB52">
            <v>0.32779999999999998</v>
          </cell>
          <cell r="AC52">
            <v>0</v>
          </cell>
          <cell r="AD52">
            <v>0.14000000000000001</v>
          </cell>
        </row>
        <row r="53">
          <cell r="A53">
            <v>243</v>
          </cell>
          <cell r="B53" t="str">
            <v>243 - Lebo-Waverly</v>
          </cell>
          <cell r="C53" t="str">
            <v>Coffey</v>
          </cell>
          <cell r="D53">
            <v>24079769</v>
          </cell>
          <cell r="E53">
            <v>21529542</v>
          </cell>
          <cell r="F53">
            <v>24736734</v>
          </cell>
          <cell r="G53">
            <v>22169961</v>
          </cell>
          <cell r="H53">
            <v>526</v>
          </cell>
          <cell r="I53">
            <v>516.5</v>
          </cell>
          <cell r="J53">
            <v>248</v>
          </cell>
          <cell r="K53">
            <v>3846055</v>
          </cell>
          <cell r="L53">
            <v>24</v>
          </cell>
          <cell r="M53">
            <v>0</v>
          </cell>
          <cell r="N53">
            <v>467189</v>
          </cell>
          <cell r="O53">
            <v>401614</v>
          </cell>
          <cell r="P53">
            <v>195263</v>
          </cell>
          <cell r="Q53">
            <v>71259</v>
          </cell>
          <cell r="R53">
            <v>124774</v>
          </cell>
          <cell r="U53">
            <v>145203</v>
          </cell>
          <cell r="V53">
            <v>0</v>
          </cell>
          <cell r="W53">
            <v>440826</v>
          </cell>
          <cell r="X53">
            <v>0.32100000000000001</v>
          </cell>
          <cell r="Y53">
            <v>0.28000000000000003</v>
          </cell>
          <cell r="Z53">
            <v>170</v>
          </cell>
          <cell r="AA53">
            <v>56</v>
          </cell>
          <cell r="AB53">
            <v>0.54049999999999998</v>
          </cell>
          <cell r="AC53">
            <v>0.16</v>
          </cell>
          <cell r="AD53">
            <v>0.36</v>
          </cell>
        </row>
        <row r="54">
          <cell r="A54">
            <v>244</v>
          </cell>
          <cell r="B54" t="str">
            <v>244 - Burlington</v>
          </cell>
          <cell r="C54" t="str">
            <v>Coffey</v>
          </cell>
          <cell r="D54">
            <v>341076192</v>
          </cell>
          <cell r="E54">
            <v>337255289</v>
          </cell>
          <cell r="F54">
            <v>345940292</v>
          </cell>
          <cell r="G54">
            <v>342104127</v>
          </cell>
          <cell r="H54">
            <v>816.5</v>
          </cell>
          <cell r="I54">
            <v>836.9</v>
          </cell>
          <cell r="J54">
            <v>147</v>
          </cell>
          <cell r="K54">
            <v>6345263</v>
          </cell>
          <cell r="L54">
            <v>35</v>
          </cell>
          <cell r="M54">
            <v>0</v>
          </cell>
          <cell r="N54">
            <v>1130959</v>
          </cell>
          <cell r="O54">
            <v>1220959</v>
          </cell>
          <cell r="P54">
            <v>275949</v>
          </cell>
          <cell r="Q54">
            <v>101372</v>
          </cell>
          <cell r="R54">
            <v>177502</v>
          </cell>
          <cell r="U54">
            <v>0</v>
          </cell>
          <cell r="V54">
            <v>0</v>
          </cell>
          <cell r="W54">
            <v>1300350</v>
          </cell>
          <cell r="X54">
            <v>0.33</v>
          </cell>
          <cell r="Y54">
            <v>0.308</v>
          </cell>
          <cell r="Z54">
            <v>278</v>
          </cell>
          <cell r="AA54">
            <v>114</v>
          </cell>
          <cell r="AB54">
            <v>0</v>
          </cell>
          <cell r="AC54">
            <v>0</v>
          </cell>
          <cell r="AD54">
            <v>0</v>
          </cell>
        </row>
        <row r="55">
          <cell r="A55">
            <v>245</v>
          </cell>
          <cell r="B55" t="str">
            <v>245 - LeRoy-Gridley</v>
          </cell>
          <cell r="C55" t="str">
            <v>Coffey</v>
          </cell>
          <cell r="D55">
            <v>18633182</v>
          </cell>
          <cell r="E55">
            <v>17012932</v>
          </cell>
          <cell r="F55">
            <v>20253977</v>
          </cell>
          <cell r="G55">
            <v>18644813</v>
          </cell>
          <cell r="H55">
            <v>246.5</v>
          </cell>
          <cell r="I55">
            <v>224.5</v>
          </cell>
          <cell r="J55">
            <v>207</v>
          </cell>
          <cell r="K55">
            <v>2109445</v>
          </cell>
          <cell r="L55">
            <v>24</v>
          </cell>
          <cell r="M55">
            <v>0</v>
          </cell>
          <cell r="N55">
            <v>286281</v>
          </cell>
          <cell r="O55">
            <v>265118</v>
          </cell>
          <cell r="P55">
            <v>105700</v>
          </cell>
          <cell r="Q55">
            <v>38851</v>
          </cell>
          <cell r="R55">
            <v>68028</v>
          </cell>
          <cell r="U55">
            <v>31806</v>
          </cell>
          <cell r="V55">
            <v>0</v>
          </cell>
          <cell r="W55">
            <v>300551</v>
          </cell>
          <cell r="X55">
            <v>0.30399999999999999</v>
          </cell>
          <cell r="Y55">
            <v>0.312</v>
          </cell>
          <cell r="Z55">
            <v>75</v>
          </cell>
          <cell r="AA55">
            <v>36</v>
          </cell>
          <cell r="AB55">
            <v>0.13439999999999999</v>
          </cell>
          <cell r="AC55">
            <v>0</v>
          </cell>
          <cell r="AD55">
            <v>0</v>
          </cell>
        </row>
        <row r="56">
          <cell r="A56">
            <v>246</v>
          </cell>
          <cell r="B56" t="str">
            <v>246 - Northeast</v>
          </cell>
          <cell r="C56" t="str">
            <v>Crawford</v>
          </cell>
          <cell r="D56">
            <v>16348877</v>
          </cell>
          <cell r="E56">
            <v>12496346</v>
          </cell>
          <cell r="F56">
            <v>16198531</v>
          </cell>
          <cell r="G56">
            <v>12351427</v>
          </cell>
          <cell r="H56">
            <v>555.5</v>
          </cell>
          <cell r="I56">
            <v>537.5</v>
          </cell>
          <cell r="J56">
            <v>106</v>
          </cell>
          <cell r="K56">
            <v>4427157</v>
          </cell>
          <cell r="L56">
            <v>38</v>
          </cell>
          <cell r="M56">
            <v>0</v>
          </cell>
          <cell r="N56">
            <v>439949</v>
          </cell>
          <cell r="O56">
            <v>493337</v>
          </cell>
          <cell r="P56">
            <v>216714</v>
          </cell>
          <cell r="Q56">
            <v>82397</v>
          </cell>
          <cell r="R56">
            <v>144277</v>
          </cell>
          <cell r="U56">
            <v>216863</v>
          </cell>
          <cell r="V56">
            <v>0</v>
          </cell>
          <cell r="W56">
            <v>520996</v>
          </cell>
          <cell r="X56">
            <v>0.52</v>
          </cell>
          <cell r="Y56">
            <v>0.59499999999999997</v>
          </cell>
          <cell r="Z56">
            <v>292</v>
          </cell>
          <cell r="AA56">
            <v>72</v>
          </cell>
          <cell r="AB56">
            <v>0.71409999999999996</v>
          </cell>
          <cell r="AC56">
            <v>0.34</v>
          </cell>
          <cell r="AD56">
            <v>0.54</v>
          </cell>
        </row>
        <row r="57">
          <cell r="A57">
            <v>247</v>
          </cell>
          <cell r="B57" t="str">
            <v>247 - Cherokee</v>
          </cell>
          <cell r="C57" t="str">
            <v>Crawford</v>
          </cell>
          <cell r="D57">
            <v>26654477</v>
          </cell>
          <cell r="E57">
            <v>22402925</v>
          </cell>
          <cell r="F57">
            <v>26599716</v>
          </cell>
          <cell r="G57">
            <v>22352435</v>
          </cell>
          <cell r="H57">
            <v>651.5</v>
          </cell>
          <cell r="I57">
            <v>694</v>
          </cell>
          <cell r="J57">
            <v>300</v>
          </cell>
          <cell r="K57">
            <v>5292509</v>
          </cell>
          <cell r="L57">
            <v>37</v>
          </cell>
          <cell r="M57">
            <v>0</v>
          </cell>
          <cell r="N57">
            <v>565452</v>
          </cell>
          <cell r="O57">
            <v>582169</v>
          </cell>
          <cell r="P57">
            <v>262392</v>
          </cell>
          <cell r="Q57">
            <v>96483</v>
          </cell>
          <cell r="R57">
            <v>168942</v>
          </cell>
          <cell r="U57">
            <v>252671</v>
          </cell>
          <cell r="V57">
            <v>0</v>
          </cell>
          <cell r="W57">
            <v>656640</v>
          </cell>
          <cell r="X57">
            <v>0.48299999999999998</v>
          </cell>
          <cell r="Y57">
            <v>0.44600000000000001</v>
          </cell>
          <cell r="Z57">
            <v>338</v>
          </cell>
          <cell r="AA57">
            <v>121</v>
          </cell>
          <cell r="AB57">
            <v>0.63539999999999996</v>
          </cell>
          <cell r="AC57">
            <v>0.26</v>
          </cell>
          <cell r="AD57">
            <v>0.46</v>
          </cell>
        </row>
        <row r="58">
          <cell r="A58">
            <v>248</v>
          </cell>
          <cell r="B58" t="str">
            <v>248 - Girard</v>
          </cell>
          <cell r="C58" t="str">
            <v>Crawford</v>
          </cell>
          <cell r="D58">
            <v>33857376</v>
          </cell>
          <cell r="E58">
            <v>28911755</v>
          </cell>
          <cell r="F58">
            <v>33474445</v>
          </cell>
          <cell r="G58">
            <v>28553309</v>
          </cell>
          <cell r="H58">
            <v>1001.8</v>
          </cell>
          <cell r="I58">
            <v>1001</v>
          </cell>
          <cell r="J58">
            <v>263</v>
          </cell>
          <cell r="K58">
            <v>6949592</v>
          </cell>
          <cell r="L58">
            <v>37</v>
          </cell>
          <cell r="M58">
            <v>0</v>
          </cell>
          <cell r="N58">
            <v>743182</v>
          </cell>
          <cell r="O58">
            <v>807437</v>
          </cell>
          <cell r="P58">
            <v>332451</v>
          </cell>
          <cell r="Q58">
            <v>126217</v>
          </cell>
          <cell r="R58">
            <v>221006</v>
          </cell>
          <cell r="U58">
            <v>307150</v>
          </cell>
          <cell r="V58">
            <v>0</v>
          </cell>
          <cell r="W58">
            <v>846550</v>
          </cell>
          <cell r="X58">
            <v>0.4</v>
          </cell>
          <cell r="Y58">
            <v>0.40300000000000002</v>
          </cell>
          <cell r="Z58">
            <v>404</v>
          </cell>
          <cell r="AA58">
            <v>112</v>
          </cell>
          <cell r="AB58">
            <v>0.68359999999999999</v>
          </cell>
          <cell r="AC58">
            <v>0.31</v>
          </cell>
          <cell r="AD58">
            <v>0.51</v>
          </cell>
        </row>
        <row r="59">
          <cell r="A59">
            <v>249</v>
          </cell>
          <cell r="B59" t="str">
            <v>249 - Frontenac</v>
          </cell>
          <cell r="C59" t="str">
            <v>Crawford</v>
          </cell>
          <cell r="D59">
            <v>24202001</v>
          </cell>
          <cell r="E59">
            <v>20651999</v>
          </cell>
          <cell r="F59">
            <v>24239239</v>
          </cell>
          <cell r="G59">
            <v>20703590</v>
          </cell>
          <cell r="H59">
            <v>843</v>
          </cell>
          <cell r="I59">
            <v>858</v>
          </cell>
          <cell r="J59">
            <v>22</v>
          </cell>
          <cell r="K59">
            <v>5724004</v>
          </cell>
          <cell r="L59">
            <v>62</v>
          </cell>
          <cell r="M59">
            <v>0</v>
          </cell>
          <cell r="N59">
            <v>601729</v>
          </cell>
          <cell r="O59">
            <v>662473</v>
          </cell>
          <cell r="P59">
            <v>263398</v>
          </cell>
          <cell r="Q59">
            <v>102097</v>
          </cell>
          <cell r="R59">
            <v>178771</v>
          </cell>
          <cell r="U59">
            <v>250590</v>
          </cell>
          <cell r="V59">
            <v>0</v>
          </cell>
          <cell r="W59">
            <v>643130</v>
          </cell>
          <cell r="X59">
            <v>0.35</v>
          </cell>
          <cell r="Y59">
            <v>0.33800000000000002</v>
          </cell>
          <cell r="Z59">
            <v>303</v>
          </cell>
          <cell r="AA59">
            <v>120</v>
          </cell>
          <cell r="AB59">
            <v>0.73240000000000005</v>
          </cell>
          <cell r="AC59">
            <v>0.36</v>
          </cell>
          <cell r="AD59">
            <v>0.56000000000000005</v>
          </cell>
        </row>
        <row r="60">
          <cell r="A60">
            <v>250</v>
          </cell>
          <cell r="B60" t="str">
            <v>250 - Pittsburg</v>
          </cell>
          <cell r="C60" t="str">
            <v>Crawford</v>
          </cell>
          <cell r="D60">
            <v>143022870</v>
          </cell>
          <cell r="E60">
            <v>124848887</v>
          </cell>
          <cell r="F60">
            <v>140323079</v>
          </cell>
          <cell r="G60">
            <v>122186322</v>
          </cell>
          <cell r="H60">
            <v>2680.2</v>
          </cell>
          <cell r="I60">
            <v>2600.5</v>
          </cell>
          <cell r="J60">
            <v>43</v>
          </cell>
          <cell r="K60">
            <v>17437966</v>
          </cell>
          <cell r="L60">
            <v>143</v>
          </cell>
          <cell r="M60">
            <v>0</v>
          </cell>
          <cell r="N60">
            <v>2124209</v>
          </cell>
          <cell r="O60">
            <v>2217241</v>
          </cell>
          <cell r="P60">
            <v>808517</v>
          </cell>
          <cell r="Q60">
            <v>312789</v>
          </cell>
          <cell r="R60">
            <v>547693</v>
          </cell>
          <cell r="U60">
            <v>562739</v>
          </cell>
          <cell r="V60">
            <v>0</v>
          </cell>
          <cell r="W60">
            <v>2265391</v>
          </cell>
          <cell r="X60">
            <v>0.57799999999999996</v>
          </cell>
          <cell r="Y60">
            <v>0.58299999999999996</v>
          </cell>
          <cell r="Z60">
            <v>1562</v>
          </cell>
          <cell r="AA60">
            <v>228</v>
          </cell>
          <cell r="AB60">
            <v>0.48849999999999999</v>
          </cell>
          <cell r="AC60">
            <v>0.11</v>
          </cell>
          <cell r="AD60">
            <v>0.31</v>
          </cell>
        </row>
        <row r="61">
          <cell r="A61">
            <v>251</v>
          </cell>
          <cell r="B61" t="str">
            <v>251 - North Lyon Co.</v>
          </cell>
          <cell r="C61" t="str">
            <v>Lyon</v>
          </cell>
          <cell r="D61">
            <v>28455054</v>
          </cell>
          <cell r="E61">
            <v>25431098</v>
          </cell>
          <cell r="F61">
            <v>29713222</v>
          </cell>
          <cell r="G61">
            <v>26628963</v>
          </cell>
          <cell r="H61">
            <v>506.6</v>
          </cell>
          <cell r="I61">
            <v>437.3</v>
          </cell>
          <cell r="J61">
            <v>434</v>
          </cell>
          <cell r="K61">
            <v>3829914</v>
          </cell>
          <cell r="L61">
            <v>23</v>
          </cell>
          <cell r="M61">
            <v>0</v>
          </cell>
          <cell r="N61">
            <v>421891</v>
          </cell>
          <cell r="O61">
            <v>381716</v>
          </cell>
          <cell r="P61">
            <v>200030</v>
          </cell>
          <cell r="Q61">
            <v>72660</v>
          </cell>
          <cell r="R61">
            <v>127228</v>
          </cell>
          <cell r="U61">
            <v>139144</v>
          </cell>
          <cell r="V61">
            <v>0</v>
          </cell>
          <cell r="W61">
            <v>442086</v>
          </cell>
          <cell r="X61">
            <v>0.312</v>
          </cell>
          <cell r="Y61">
            <v>0.313</v>
          </cell>
          <cell r="Z61">
            <v>158</v>
          </cell>
          <cell r="AA61">
            <v>53</v>
          </cell>
          <cell r="AB61">
            <v>0.34810000000000002</v>
          </cell>
          <cell r="AC61">
            <v>0</v>
          </cell>
          <cell r="AD61">
            <v>0.16</v>
          </cell>
        </row>
        <row r="62">
          <cell r="A62">
            <v>252</v>
          </cell>
          <cell r="B62" t="str">
            <v>252 - Southern Lyon Co.</v>
          </cell>
          <cell r="C62" t="str">
            <v>Lyon</v>
          </cell>
          <cell r="D62">
            <v>32538285</v>
          </cell>
          <cell r="E62">
            <v>29878777</v>
          </cell>
          <cell r="F62">
            <v>33251306</v>
          </cell>
          <cell r="G62">
            <v>30500978</v>
          </cell>
          <cell r="H62">
            <v>493.3</v>
          </cell>
          <cell r="I62">
            <v>517.79999999999995</v>
          </cell>
          <cell r="J62">
            <v>295</v>
          </cell>
          <cell r="K62">
            <v>3930307</v>
          </cell>
          <cell r="L62">
            <v>34</v>
          </cell>
          <cell r="M62">
            <v>0</v>
          </cell>
          <cell r="N62">
            <v>403249</v>
          </cell>
          <cell r="O62">
            <v>450712</v>
          </cell>
          <cell r="P62">
            <v>199418</v>
          </cell>
          <cell r="Q62">
            <v>69753</v>
          </cell>
          <cell r="R62">
            <v>122137</v>
          </cell>
          <cell r="U62">
            <v>108318</v>
          </cell>
          <cell r="V62">
            <v>0</v>
          </cell>
          <cell r="W62">
            <v>481383</v>
          </cell>
          <cell r="X62">
            <v>0.311</v>
          </cell>
          <cell r="Y62">
            <v>0.24</v>
          </cell>
          <cell r="Z62">
            <v>162</v>
          </cell>
          <cell r="AA62">
            <v>74</v>
          </cell>
          <cell r="AB62">
            <v>0.38740000000000002</v>
          </cell>
          <cell r="AC62">
            <v>0</v>
          </cell>
          <cell r="AD62">
            <v>0.2</v>
          </cell>
        </row>
        <row r="63">
          <cell r="A63">
            <v>253</v>
          </cell>
          <cell r="B63" t="str">
            <v>253 - Emporia</v>
          </cell>
          <cell r="C63" t="str">
            <v>Lyon</v>
          </cell>
          <cell r="D63">
            <v>172891727</v>
          </cell>
          <cell r="E63">
            <v>153563512</v>
          </cell>
          <cell r="F63">
            <v>172768156</v>
          </cell>
          <cell r="G63">
            <v>153255988</v>
          </cell>
          <cell r="H63">
            <v>4180.8</v>
          </cell>
          <cell r="I63">
            <v>4196.5</v>
          </cell>
          <cell r="J63">
            <v>135</v>
          </cell>
          <cell r="K63">
            <v>28965296</v>
          </cell>
          <cell r="L63">
            <v>133</v>
          </cell>
          <cell r="M63">
            <v>21</v>
          </cell>
          <cell r="N63">
            <v>2755356</v>
          </cell>
          <cell r="O63">
            <v>2845736</v>
          </cell>
          <cell r="P63">
            <v>1458550</v>
          </cell>
          <cell r="Q63">
            <v>535175</v>
          </cell>
          <cell r="R63">
            <v>937091</v>
          </cell>
          <cell r="U63">
            <v>1230692</v>
          </cell>
          <cell r="V63">
            <v>0</v>
          </cell>
          <cell r="W63">
            <v>3107792</v>
          </cell>
          <cell r="X63">
            <v>0.60199999999999998</v>
          </cell>
          <cell r="Y63">
            <v>0.56299999999999994</v>
          </cell>
          <cell r="Z63">
            <v>2569</v>
          </cell>
          <cell r="AA63">
            <v>485</v>
          </cell>
          <cell r="AB63">
            <v>0.61629999999999996</v>
          </cell>
          <cell r="AC63">
            <v>0.24</v>
          </cell>
          <cell r="AD63">
            <v>0.44</v>
          </cell>
        </row>
        <row r="64">
          <cell r="A64">
            <v>254</v>
          </cell>
          <cell r="B64" t="str">
            <v>254 - Barber Co.</v>
          </cell>
          <cell r="C64" t="str">
            <v>Barber</v>
          </cell>
          <cell r="D64">
            <v>68284990</v>
          </cell>
          <cell r="E64">
            <v>64971334</v>
          </cell>
          <cell r="F64">
            <v>51159708</v>
          </cell>
          <cell r="G64">
            <v>47815951</v>
          </cell>
          <cell r="H64">
            <v>452.5</v>
          </cell>
          <cell r="I64">
            <v>435.5</v>
          </cell>
          <cell r="J64">
            <v>718</v>
          </cell>
          <cell r="K64">
            <v>3553143</v>
          </cell>
          <cell r="L64">
            <v>14</v>
          </cell>
          <cell r="M64">
            <v>0</v>
          </cell>
          <cell r="N64">
            <v>505474</v>
          </cell>
          <cell r="O64">
            <v>534632</v>
          </cell>
          <cell r="P64">
            <v>185970</v>
          </cell>
          <cell r="Q64">
            <v>65638</v>
          </cell>
          <cell r="R64">
            <v>114931</v>
          </cell>
          <cell r="U64">
            <v>0</v>
          </cell>
          <cell r="V64">
            <v>0</v>
          </cell>
          <cell r="W64">
            <v>586690</v>
          </cell>
          <cell r="X64">
            <v>0.25600000000000001</v>
          </cell>
          <cell r="Y64">
            <v>0.25800000000000001</v>
          </cell>
          <cell r="Z64">
            <v>119</v>
          </cell>
          <cell r="AA64">
            <v>63</v>
          </cell>
          <cell r="AB64">
            <v>0</v>
          </cell>
          <cell r="AC64">
            <v>0</v>
          </cell>
          <cell r="AD64">
            <v>0</v>
          </cell>
        </row>
        <row r="65">
          <cell r="A65">
            <v>255</v>
          </cell>
          <cell r="B65" t="str">
            <v>255 - South Barber Co.</v>
          </cell>
          <cell r="C65" t="str">
            <v>Barber</v>
          </cell>
          <cell r="D65">
            <v>54547867</v>
          </cell>
          <cell r="E65">
            <v>53085107</v>
          </cell>
          <cell r="F65">
            <v>51083208</v>
          </cell>
          <cell r="G65">
            <v>49576350</v>
          </cell>
          <cell r="H65">
            <v>226</v>
          </cell>
          <cell r="I65">
            <v>215.2</v>
          </cell>
          <cell r="J65">
            <v>425.5</v>
          </cell>
          <cell r="K65">
            <v>2012988</v>
          </cell>
          <cell r="L65">
            <v>22</v>
          </cell>
          <cell r="M65">
            <v>0</v>
          </cell>
          <cell r="N65">
            <v>218247</v>
          </cell>
          <cell r="O65">
            <v>260363</v>
          </cell>
          <cell r="P65">
            <v>96014</v>
          </cell>
          <cell r="Q65">
            <v>36322</v>
          </cell>
          <cell r="R65">
            <v>63600</v>
          </cell>
          <cell r="U65">
            <v>0</v>
          </cell>
          <cell r="V65">
            <v>0</v>
          </cell>
          <cell r="W65">
            <v>254322</v>
          </cell>
          <cell r="X65">
            <v>0.31900000000000001</v>
          </cell>
          <cell r="Y65">
            <v>0.36899999999999999</v>
          </cell>
          <cell r="Z65">
            <v>73</v>
          </cell>
          <cell r="AA65">
            <v>39</v>
          </cell>
          <cell r="AB65">
            <v>0</v>
          </cell>
          <cell r="AC65">
            <v>0</v>
          </cell>
          <cell r="AD65">
            <v>0</v>
          </cell>
        </row>
        <row r="66">
          <cell r="A66">
            <v>256</v>
          </cell>
          <cell r="B66" t="str">
            <v>256 - Marmaton Valley</v>
          </cell>
          <cell r="C66" t="str">
            <v>Allen</v>
          </cell>
          <cell r="D66">
            <v>14518228</v>
          </cell>
          <cell r="E66">
            <v>12959707</v>
          </cell>
          <cell r="F66">
            <v>14633599</v>
          </cell>
          <cell r="G66">
            <v>13065362</v>
          </cell>
          <cell r="H66">
            <v>334</v>
          </cell>
          <cell r="I66">
            <v>330</v>
          </cell>
          <cell r="J66">
            <v>225</v>
          </cell>
          <cell r="K66">
            <v>2972829</v>
          </cell>
          <cell r="L66">
            <v>8</v>
          </cell>
          <cell r="M66">
            <v>0</v>
          </cell>
          <cell r="N66">
            <v>391842</v>
          </cell>
          <cell r="O66">
            <v>439530</v>
          </cell>
          <cell r="P66">
            <v>132748</v>
          </cell>
          <cell r="Q66">
            <v>51149</v>
          </cell>
          <cell r="R66">
            <v>89562</v>
          </cell>
          <cell r="U66">
            <v>48975</v>
          </cell>
          <cell r="V66">
            <v>0</v>
          </cell>
          <cell r="W66">
            <v>442688</v>
          </cell>
          <cell r="X66">
            <v>0.505</v>
          </cell>
          <cell r="Y66">
            <v>0.48699999999999999</v>
          </cell>
          <cell r="Z66">
            <v>172</v>
          </cell>
          <cell r="AA66">
            <v>39</v>
          </cell>
          <cell r="AB66">
            <v>0.58279999999999998</v>
          </cell>
          <cell r="AC66">
            <v>0.2</v>
          </cell>
          <cell r="AD66">
            <v>0.4</v>
          </cell>
        </row>
        <row r="67">
          <cell r="A67">
            <v>257</v>
          </cell>
          <cell r="B67" t="str">
            <v>257 - Iola</v>
          </cell>
          <cell r="C67" t="str">
            <v>Allen</v>
          </cell>
          <cell r="D67">
            <v>50061211</v>
          </cell>
          <cell r="E67">
            <v>42435520</v>
          </cell>
          <cell r="F67">
            <v>51056425</v>
          </cell>
          <cell r="G67">
            <v>43380780</v>
          </cell>
          <cell r="H67">
            <v>1270.3</v>
          </cell>
          <cell r="I67">
            <v>1246.8</v>
          </cell>
          <cell r="J67">
            <v>140.5</v>
          </cell>
          <cell r="K67">
            <v>9073210</v>
          </cell>
          <cell r="L67">
            <v>74</v>
          </cell>
          <cell r="M67">
            <v>0</v>
          </cell>
          <cell r="N67">
            <v>1560106</v>
          </cell>
          <cell r="O67">
            <v>1482951</v>
          </cell>
          <cell r="P67">
            <v>444754</v>
          </cell>
          <cell r="Q67">
            <v>160953</v>
          </cell>
          <cell r="R67">
            <v>281828</v>
          </cell>
          <cell r="U67">
            <v>477737</v>
          </cell>
          <cell r="V67">
            <v>0</v>
          </cell>
          <cell r="W67">
            <v>1748337</v>
          </cell>
          <cell r="X67">
            <v>0.47699999999999998</v>
          </cell>
          <cell r="Y67">
            <v>0.44600000000000001</v>
          </cell>
          <cell r="Z67">
            <v>625</v>
          </cell>
          <cell r="AA67">
            <v>144</v>
          </cell>
          <cell r="AB67">
            <v>0.61519999999999997</v>
          </cell>
          <cell r="AC67">
            <v>0.24</v>
          </cell>
          <cell r="AD67">
            <v>0.44</v>
          </cell>
        </row>
        <row r="68">
          <cell r="A68">
            <v>258</v>
          </cell>
          <cell r="B68" t="str">
            <v>258 - Humboldt</v>
          </cell>
          <cell r="C68" t="str">
            <v>Allen</v>
          </cell>
          <cell r="D68">
            <v>25624761</v>
          </cell>
          <cell r="E68">
            <v>23018764</v>
          </cell>
          <cell r="F68">
            <v>25017834</v>
          </cell>
          <cell r="G68">
            <v>22413490</v>
          </cell>
          <cell r="H68">
            <v>523</v>
          </cell>
          <cell r="I68">
            <v>536</v>
          </cell>
          <cell r="J68">
            <v>126</v>
          </cell>
          <cell r="K68">
            <v>4096449</v>
          </cell>
          <cell r="L68">
            <v>26</v>
          </cell>
          <cell r="M68">
            <v>0</v>
          </cell>
          <cell r="N68">
            <v>515183</v>
          </cell>
          <cell r="O68">
            <v>582796</v>
          </cell>
          <cell r="P68">
            <v>180023</v>
          </cell>
          <cell r="Q68">
            <v>70526</v>
          </cell>
          <cell r="R68">
            <v>123491</v>
          </cell>
          <cell r="U68">
            <v>111732</v>
          </cell>
          <cell r="V68">
            <v>0</v>
          </cell>
          <cell r="W68">
            <v>610724</v>
          </cell>
          <cell r="X68">
            <v>0.375</v>
          </cell>
          <cell r="Y68">
            <v>0.38400000000000001</v>
          </cell>
          <cell r="Z68">
            <v>203</v>
          </cell>
          <cell r="AA68">
            <v>88</v>
          </cell>
          <cell r="AB68">
            <v>0.5575</v>
          </cell>
          <cell r="AC68">
            <v>0.18</v>
          </cell>
          <cell r="AD68">
            <v>0.38</v>
          </cell>
        </row>
        <row r="69">
          <cell r="A69">
            <v>259</v>
          </cell>
          <cell r="B69" t="str">
            <v>259 - Wichita</v>
          </cell>
          <cell r="C69" t="str">
            <v>Sedgwick</v>
          </cell>
          <cell r="D69">
            <v>2654710633</v>
          </cell>
          <cell r="E69">
            <v>2408473046</v>
          </cell>
          <cell r="F69">
            <v>2630161737</v>
          </cell>
          <cell r="G69">
            <v>2383675738</v>
          </cell>
          <cell r="H69">
            <v>44963.3</v>
          </cell>
          <cell r="I69">
            <v>44871.1</v>
          </cell>
          <cell r="J69">
            <v>151</v>
          </cell>
          <cell r="K69">
            <v>316756844</v>
          </cell>
          <cell r="L69">
            <v>2463</v>
          </cell>
          <cell r="M69">
            <v>0</v>
          </cell>
          <cell r="N69">
            <v>36851612</v>
          </cell>
          <cell r="O69">
            <v>38145500</v>
          </cell>
          <cell r="P69">
            <v>14570059</v>
          </cell>
          <cell r="Q69">
            <v>5609375</v>
          </cell>
          <cell r="R69">
            <v>9822003</v>
          </cell>
          <cell r="U69">
            <v>10348415</v>
          </cell>
          <cell r="V69">
            <v>0</v>
          </cell>
          <cell r="W69">
            <v>39142041</v>
          </cell>
          <cell r="X69">
            <v>0.69</v>
          </cell>
          <cell r="Y69">
            <v>0.66200000000000003</v>
          </cell>
          <cell r="Z69">
            <v>31668</v>
          </cell>
          <cell r="AA69">
            <v>4901</v>
          </cell>
          <cell r="AB69">
            <v>0.45500000000000002</v>
          </cell>
          <cell r="AC69">
            <v>7.0000000000000007E-2</v>
          </cell>
          <cell r="AD69">
            <v>0.27</v>
          </cell>
        </row>
        <row r="70">
          <cell r="A70">
            <v>260</v>
          </cell>
          <cell r="B70" t="str">
            <v>260 - Derby</v>
          </cell>
          <cell r="C70" t="str">
            <v>Sedgwick</v>
          </cell>
          <cell r="D70">
            <v>376719530</v>
          </cell>
          <cell r="E70">
            <v>351361777</v>
          </cell>
          <cell r="F70">
            <v>391100691</v>
          </cell>
          <cell r="G70">
            <v>365357657</v>
          </cell>
          <cell r="H70">
            <v>6220.2</v>
          </cell>
          <cell r="I70">
            <v>6175.7</v>
          </cell>
          <cell r="J70">
            <v>50</v>
          </cell>
          <cell r="K70">
            <v>35489438</v>
          </cell>
          <cell r="L70">
            <v>489</v>
          </cell>
          <cell r="M70">
            <v>0</v>
          </cell>
          <cell r="N70">
            <v>4470196</v>
          </cell>
          <cell r="O70">
            <v>4562204</v>
          </cell>
          <cell r="P70">
            <v>1676313</v>
          </cell>
          <cell r="Q70">
            <v>632504</v>
          </cell>
          <cell r="R70">
            <v>1107513</v>
          </cell>
          <cell r="U70">
            <v>1264530</v>
          </cell>
          <cell r="V70">
            <v>0</v>
          </cell>
          <cell r="W70">
            <v>5092269</v>
          </cell>
          <cell r="X70">
            <v>0.33</v>
          </cell>
          <cell r="Y70">
            <v>0.32500000000000001</v>
          </cell>
          <cell r="Z70">
            <v>2072</v>
          </cell>
          <cell r="AA70">
            <v>791</v>
          </cell>
          <cell r="AB70">
            <v>0.39479999999999998</v>
          </cell>
          <cell r="AC70">
            <v>0.01</v>
          </cell>
          <cell r="AD70">
            <v>0.21</v>
          </cell>
        </row>
        <row r="71">
          <cell r="A71">
            <v>261</v>
          </cell>
          <cell r="B71" t="str">
            <v>261 - Haysville</v>
          </cell>
          <cell r="C71" t="str">
            <v>Sedgwick</v>
          </cell>
          <cell r="D71">
            <v>131742606</v>
          </cell>
          <cell r="E71">
            <v>113018763</v>
          </cell>
          <cell r="F71">
            <v>131718342</v>
          </cell>
          <cell r="G71">
            <v>112927957</v>
          </cell>
          <cell r="H71">
            <v>4668.5</v>
          </cell>
          <cell r="I71">
            <v>4873.6000000000004</v>
          </cell>
          <cell r="J71">
            <v>36</v>
          </cell>
          <cell r="K71">
            <v>30481181</v>
          </cell>
          <cell r="L71">
            <v>241</v>
          </cell>
          <cell r="M71">
            <v>0</v>
          </cell>
          <cell r="N71">
            <v>3734592</v>
          </cell>
          <cell r="O71">
            <v>4185772</v>
          </cell>
          <cell r="P71">
            <v>1350466</v>
          </cell>
          <cell r="Q71">
            <v>525430</v>
          </cell>
          <cell r="R71">
            <v>920027</v>
          </cell>
          <cell r="U71">
            <v>1560541</v>
          </cell>
          <cell r="V71">
            <v>0</v>
          </cell>
          <cell r="W71">
            <v>4441727</v>
          </cell>
          <cell r="X71">
            <v>0.433</v>
          </cell>
          <cell r="Y71">
            <v>0.40200000000000002</v>
          </cell>
          <cell r="Z71">
            <v>2144</v>
          </cell>
          <cell r="AA71">
            <v>558</v>
          </cell>
          <cell r="AB71">
            <v>0.74760000000000004</v>
          </cell>
          <cell r="AC71">
            <v>0.38</v>
          </cell>
          <cell r="AD71">
            <v>0.57999999999999996</v>
          </cell>
        </row>
        <row r="72">
          <cell r="A72">
            <v>262</v>
          </cell>
          <cell r="B72" t="str">
            <v>262 - Valley Center</v>
          </cell>
          <cell r="C72" t="str">
            <v>Sedgwick</v>
          </cell>
          <cell r="D72">
            <v>109871289</v>
          </cell>
          <cell r="E72">
            <v>98214699</v>
          </cell>
          <cell r="F72">
            <v>114070454</v>
          </cell>
          <cell r="G72">
            <v>102277181</v>
          </cell>
          <cell r="H72">
            <v>2476.1</v>
          </cell>
          <cell r="I72">
            <v>2520.3000000000002</v>
          </cell>
          <cell r="J72">
            <v>83</v>
          </cell>
          <cell r="K72">
            <v>14819262</v>
          </cell>
          <cell r="L72">
            <v>133</v>
          </cell>
          <cell r="M72">
            <v>0</v>
          </cell>
          <cell r="N72">
            <v>2025314</v>
          </cell>
          <cell r="O72">
            <v>1999346</v>
          </cell>
          <cell r="P72">
            <v>665448</v>
          </cell>
          <cell r="Q72">
            <v>253248</v>
          </cell>
          <cell r="R72">
            <v>443437</v>
          </cell>
          <cell r="U72">
            <v>596076</v>
          </cell>
          <cell r="V72">
            <v>0</v>
          </cell>
          <cell r="W72">
            <v>2337803</v>
          </cell>
          <cell r="X72">
            <v>0.254</v>
          </cell>
          <cell r="Y72">
            <v>0.23200000000000001</v>
          </cell>
          <cell r="Z72">
            <v>645</v>
          </cell>
          <cell r="AA72">
            <v>273</v>
          </cell>
          <cell r="AB72">
            <v>0.57589999999999997</v>
          </cell>
          <cell r="AC72">
            <v>0.2</v>
          </cell>
          <cell r="AD72">
            <v>0.4</v>
          </cell>
        </row>
        <row r="73">
          <cell r="A73">
            <v>263</v>
          </cell>
          <cell r="B73" t="str">
            <v>263 - Mulvane</v>
          </cell>
          <cell r="C73" t="str">
            <v>Sedgwick</v>
          </cell>
          <cell r="D73">
            <v>60800858</v>
          </cell>
          <cell r="E73">
            <v>52256323</v>
          </cell>
          <cell r="F73">
            <v>61442206</v>
          </cell>
          <cell r="G73">
            <v>52893296</v>
          </cell>
          <cell r="H73">
            <v>1835</v>
          </cell>
          <cell r="I73">
            <v>1799.9</v>
          </cell>
          <cell r="J73">
            <v>82.4</v>
          </cell>
          <cell r="K73">
            <v>10056673</v>
          </cell>
          <cell r="L73">
            <v>102</v>
          </cell>
          <cell r="M73">
            <v>0</v>
          </cell>
          <cell r="N73">
            <v>1133846</v>
          </cell>
          <cell r="O73">
            <v>1321015</v>
          </cell>
          <cell r="P73">
            <v>470906</v>
          </cell>
          <cell r="Q73">
            <v>179009</v>
          </cell>
          <cell r="R73">
            <v>313445</v>
          </cell>
          <cell r="U73">
            <v>518230</v>
          </cell>
          <cell r="V73">
            <v>0</v>
          </cell>
          <cell r="W73">
            <v>1238221</v>
          </cell>
          <cell r="X73">
            <v>0.22</v>
          </cell>
          <cell r="Y73">
            <v>0.216</v>
          </cell>
          <cell r="Z73">
            <v>407</v>
          </cell>
          <cell r="AA73">
            <v>228</v>
          </cell>
          <cell r="AB73">
            <v>0.67949999999999999</v>
          </cell>
          <cell r="AC73">
            <v>0.31</v>
          </cell>
          <cell r="AD73">
            <v>0.51</v>
          </cell>
        </row>
        <row r="74">
          <cell r="A74">
            <v>264</v>
          </cell>
          <cell r="B74" t="str">
            <v>264 - Clearwater</v>
          </cell>
          <cell r="C74" t="str">
            <v>Sedgwick</v>
          </cell>
          <cell r="D74">
            <v>56912573</v>
          </cell>
          <cell r="E74">
            <v>52014463</v>
          </cell>
          <cell r="F74">
            <v>56846476</v>
          </cell>
          <cell r="G74">
            <v>51932336</v>
          </cell>
          <cell r="H74">
            <v>1269.9000000000001</v>
          </cell>
          <cell r="I74">
            <v>1233.5999999999999</v>
          </cell>
          <cell r="J74">
            <v>136</v>
          </cell>
          <cell r="K74">
            <v>7655497</v>
          </cell>
          <cell r="L74">
            <v>106</v>
          </cell>
          <cell r="M74">
            <v>0</v>
          </cell>
          <cell r="N74">
            <v>962611</v>
          </cell>
          <cell r="O74">
            <v>997419</v>
          </cell>
          <cell r="P74">
            <v>368836</v>
          </cell>
          <cell r="Q74">
            <v>137299</v>
          </cell>
          <cell r="R74">
            <v>240411</v>
          </cell>
          <cell r="U74">
            <v>327603</v>
          </cell>
          <cell r="V74">
            <v>0</v>
          </cell>
          <cell r="W74">
            <v>1100218</v>
          </cell>
          <cell r="X74">
            <v>0.17899999999999999</v>
          </cell>
          <cell r="Y74">
            <v>0.18099999999999999</v>
          </cell>
          <cell r="Z74">
            <v>228</v>
          </cell>
          <cell r="AA74">
            <v>107</v>
          </cell>
          <cell r="AB74">
            <v>0.56079999999999997</v>
          </cell>
          <cell r="AC74">
            <v>0.18</v>
          </cell>
          <cell r="AD74">
            <v>0.38</v>
          </cell>
        </row>
        <row r="75">
          <cell r="A75">
            <v>265</v>
          </cell>
          <cell r="B75" t="str">
            <v>265 - Goddard</v>
          </cell>
          <cell r="C75" t="str">
            <v>Sedgwick</v>
          </cell>
          <cell r="D75">
            <v>219631539</v>
          </cell>
          <cell r="E75">
            <v>198812729</v>
          </cell>
          <cell r="F75">
            <v>223217368</v>
          </cell>
          <cell r="G75">
            <v>202081831</v>
          </cell>
          <cell r="H75">
            <v>4858</v>
          </cell>
          <cell r="I75">
            <v>4888.2</v>
          </cell>
          <cell r="J75">
            <v>65.099999999999994</v>
          </cell>
          <cell r="K75">
            <v>27999944</v>
          </cell>
          <cell r="L75">
            <v>165</v>
          </cell>
          <cell r="M75">
            <v>0</v>
          </cell>
          <cell r="N75">
            <v>3452611</v>
          </cell>
          <cell r="O75">
            <v>3651520</v>
          </cell>
          <cell r="P75">
            <v>1251282</v>
          </cell>
          <cell r="Q75">
            <v>480322</v>
          </cell>
          <cell r="R75">
            <v>841042</v>
          </cell>
          <cell r="U75">
            <v>1201641</v>
          </cell>
          <cell r="V75">
            <v>0.64</v>
          </cell>
          <cell r="W75">
            <v>3914158</v>
          </cell>
          <cell r="X75">
            <v>0.17799999999999999</v>
          </cell>
          <cell r="Y75">
            <v>0.156</v>
          </cell>
          <cell r="Z75">
            <v>874</v>
          </cell>
          <cell r="AA75">
            <v>393</v>
          </cell>
          <cell r="AB75">
            <v>0.5645</v>
          </cell>
          <cell r="AC75">
            <v>0.19</v>
          </cell>
          <cell r="AD75">
            <v>0.39</v>
          </cell>
        </row>
        <row r="76">
          <cell r="A76">
            <v>266</v>
          </cell>
          <cell r="B76" t="str">
            <v>266 - Maize</v>
          </cell>
          <cell r="C76" t="str">
            <v>Sedgwick</v>
          </cell>
          <cell r="D76">
            <v>332953704</v>
          </cell>
          <cell r="E76">
            <v>307402916</v>
          </cell>
          <cell r="F76">
            <v>340814913</v>
          </cell>
          <cell r="G76">
            <v>314816421</v>
          </cell>
          <cell r="H76">
            <v>6360.1</v>
          </cell>
          <cell r="I76">
            <v>6375.8</v>
          </cell>
          <cell r="J76">
            <v>42.5</v>
          </cell>
          <cell r="K76">
            <v>37060950</v>
          </cell>
          <cell r="L76">
            <v>385</v>
          </cell>
          <cell r="M76">
            <v>0</v>
          </cell>
          <cell r="N76">
            <v>4639002</v>
          </cell>
          <cell r="O76">
            <v>4946428</v>
          </cell>
          <cell r="P76">
            <v>1643886</v>
          </cell>
          <cell r="Q76">
            <v>650601</v>
          </cell>
          <cell r="R76">
            <v>1139200</v>
          </cell>
          <cell r="U76">
            <v>1448412</v>
          </cell>
          <cell r="V76">
            <v>1.69</v>
          </cell>
          <cell r="W76">
            <v>5269645</v>
          </cell>
          <cell r="X76">
            <v>0.11600000000000001</v>
          </cell>
          <cell r="Y76">
            <v>0.108</v>
          </cell>
          <cell r="Z76">
            <v>743</v>
          </cell>
          <cell r="AA76">
            <v>366</v>
          </cell>
          <cell r="AB76">
            <v>0.48859999999999998</v>
          </cell>
          <cell r="AC76">
            <v>0.11</v>
          </cell>
          <cell r="AD76">
            <v>0.31</v>
          </cell>
        </row>
        <row r="77">
          <cell r="A77">
            <v>267</v>
          </cell>
          <cell r="B77" t="str">
            <v>267 - Renwick</v>
          </cell>
          <cell r="C77" t="str">
            <v>Sedgwick</v>
          </cell>
          <cell r="D77">
            <v>93413748</v>
          </cell>
          <cell r="E77">
            <v>86826101</v>
          </cell>
          <cell r="F77">
            <v>93218368</v>
          </cell>
          <cell r="G77">
            <v>86508619</v>
          </cell>
          <cell r="H77">
            <v>1945.7</v>
          </cell>
          <cell r="I77">
            <v>1918</v>
          </cell>
          <cell r="J77">
            <v>210</v>
          </cell>
          <cell r="K77">
            <v>10724388</v>
          </cell>
          <cell r="L77">
            <v>78</v>
          </cell>
          <cell r="M77">
            <v>0</v>
          </cell>
          <cell r="N77">
            <v>1424181</v>
          </cell>
          <cell r="O77">
            <v>1511022</v>
          </cell>
          <cell r="P77">
            <v>497845</v>
          </cell>
          <cell r="Q77">
            <v>184373</v>
          </cell>
          <cell r="R77">
            <v>322837</v>
          </cell>
          <cell r="U77">
            <v>441701</v>
          </cell>
          <cell r="V77">
            <v>0</v>
          </cell>
          <cell r="W77">
            <v>1668975</v>
          </cell>
          <cell r="X77">
            <v>0.10299999999999999</v>
          </cell>
          <cell r="Y77">
            <v>8.8999999999999996E-2</v>
          </cell>
          <cell r="Z77">
            <v>201</v>
          </cell>
          <cell r="AA77">
            <v>157</v>
          </cell>
          <cell r="AB77">
            <v>0.53369999999999995</v>
          </cell>
          <cell r="AC77">
            <v>0.15</v>
          </cell>
          <cell r="AD77">
            <v>0.35</v>
          </cell>
        </row>
        <row r="78">
          <cell r="A78">
            <v>268</v>
          </cell>
          <cell r="B78" t="str">
            <v>268 - Cheney</v>
          </cell>
          <cell r="C78" t="str">
            <v>Sedgwick</v>
          </cell>
          <cell r="D78">
            <v>32032024</v>
          </cell>
          <cell r="E78">
            <v>28991825</v>
          </cell>
          <cell r="F78">
            <v>29142732</v>
          </cell>
          <cell r="G78">
            <v>26086133</v>
          </cell>
          <cell r="H78">
            <v>773.8</v>
          </cell>
          <cell r="I78">
            <v>755.4</v>
          </cell>
          <cell r="J78">
            <v>126</v>
          </cell>
          <cell r="K78">
            <v>5166131</v>
          </cell>
          <cell r="L78">
            <v>36</v>
          </cell>
          <cell r="M78">
            <v>0</v>
          </cell>
          <cell r="N78">
            <v>565848</v>
          </cell>
          <cell r="O78">
            <v>615154</v>
          </cell>
          <cell r="P78">
            <v>248791</v>
          </cell>
          <cell r="Q78">
            <v>93697</v>
          </cell>
          <cell r="R78">
            <v>164062</v>
          </cell>
          <cell r="U78">
            <v>244757</v>
          </cell>
          <cell r="V78">
            <v>0</v>
          </cell>
          <cell r="W78">
            <v>640416</v>
          </cell>
          <cell r="X78">
            <v>0.16500000000000001</v>
          </cell>
          <cell r="Y78">
            <v>0.17899999999999999</v>
          </cell>
          <cell r="Z78">
            <v>129</v>
          </cell>
          <cell r="AA78">
            <v>98</v>
          </cell>
          <cell r="AB78">
            <v>0.63600000000000001</v>
          </cell>
          <cell r="AC78">
            <v>0.26</v>
          </cell>
          <cell r="AD78">
            <v>0.46</v>
          </cell>
        </row>
        <row r="79">
          <cell r="A79">
            <v>269</v>
          </cell>
          <cell r="B79" t="str">
            <v>269 - Palco</v>
          </cell>
          <cell r="C79" t="str">
            <v>Rooks</v>
          </cell>
          <cell r="D79">
            <v>32408773</v>
          </cell>
          <cell r="E79">
            <v>31576293</v>
          </cell>
          <cell r="F79">
            <v>40370040</v>
          </cell>
          <cell r="G79">
            <v>39527874</v>
          </cell>
          <cell r="H79">
            <v>145.5</v>
          </cell>
          <cell r="I79">
            <v>143</v>
          </cell>
          <cell r="J79">
            <v>248.6</v>
          </cell>
          <cell r="K79">
            <v>1531099</v>
          </cell>
          <cell r="L79">
            <v>12</v>
          </cell>
          <cell r="M79">
            <v>0</v>
          </cell>
          <cell r="N79">
            <v>204513</v>
          </cell>
          <cell r="O79">
            <v>202557</v>
          </cell>
          <cell r="P79">
            <v>76531</v>
          </cell>
          <cell r="Q79">
            <v>28808</v>
          </cell>
          <cell r="R79">
            <v>50443</v>
          </cell>
          <cell r="U79">
            <v>0</v>
          </cell>
          <cell r="V79">
            <v>0</v>
          </cell>
          <cell r="W79">
            <v>218610</v>
          </cell>
          <cell r="X79">
            <v>0.35499999999999998</v>
          </cell>
          <cell r="Y79">
            <v>0.34899999999999998</v>
          </cell>
          <cell r="Z79">
            <v>54</v>
          </cell>
          <cell r="AA79">
            <v>24</v>
          </cell>
          <cell r="AB79">
            <v>0</v>
          </cell>
          <cell r="AC79">
            <v>0</v>
          </cell>
          <cell r="AD79">
            <v>0</v>
          </cell>
        </row>
        <row r="80">
          <cell r="A80">
            <v>270</v>
          </cell>
          <cell r="B80" t="str">
            <v>270 - Plainville</v>
          </cell>
          <cell r="C80" t="str">
            <v>Rooks</v>
          </cell>
          <cell r="D80">
            <v>41674183</v>
          </cell>
          <cell r="E80">
            <v>39298586</v>
          </cell>
          <cell r="F80">
            <v>52335044</v>
          </cell>
          <cell r="G80">
            <v>49944330</v>
          </cell>
          <cell r="H80">
            <v>356.6</v>
          </cell>
          <cell r="I80">
            <v>368.9</v>
          </cell>
          <cell r="J80">
            <v>275.8</v>
          </cell>
          <cell r="K80">
            <v>2829128</v>
          </cell>
          <cell r="L80">
            <v>35</v>
          </cell>
          <cell r="M80">
            <v>0</v>
          </cell>
          <cell r="N80">
            <v>405213</v>
          </cell>
          <cell r="O80">
            <v>394857</v>
          </cell>
          <cell r="P80">
            <v>137537</v>
          </cell>
          <cell r="Q80">
            <v>50931</v>
          </cell>
          <cell r="R80">
            <v>89181</v>
          </cell>
          <cell r="U80">
            <v>0</v>
          </cell>
          <cell r="V80">
            <v>0</v>
          </cell>
          <cell r="W80">
            <v>444500</v>
          </cell>
          <cell r="X80">
            <v>0.30099999999999999</v>
          </cell>
          <cell r="Y80">
            <v>0.27800000000000002</v>
          </cell>
          <cell r="Z80">
            <v>111</v>
          </cell>
          <cell r="AA80">
            <v>49</v>
          </cell>
          <cell r="AB80">
            <v>0</v>
          </cell>
          <cell r="AC80">
            <v>0</v>
          </cell>
          <cell r="AD80">
            <v>0</v>
          </cell>
        </row>
        <row r="81">
          <cell r="A81">
            <v>271</v>
          </cell>
          <cell r="B81" t="str">
            <v>271 - Stockton</v>
          </cell>
          <cell r="C81" t="str">
            <v>Rooks</v>
          </cell>
          <cell r="D81">
            <v>25943205</v>
          </cell>
          <cell r="E81">
            <v>23939272</v>
          </cell>
          <cell r="F81">
            <v>26547242</v>
          </cell>
          <cell r="G81">
            <v>24526856</v>
          </cell>
          <cell r="H81">
            <v>285.3</v>
          </cell>
          <cell r="I81">
            <v>278.10000000000002</v>
          </cell>
          <cell r="J81">
            <v>444.8</v>
          </cell>
          <cell r="K81">
            <v>2338184</v>
          </cell>
          <cell r="L81">
            <v>14</v>
          </cell>
          <cell r="M81">
            <v>0</v>
          </cell>
          <cell r="N81">
            <v>309402</v>
          </cell>
          <cell r="O81">
            <v>317473</v>
          </cell>
          <cell r="P81">
            <v>115955</v>
          </cell>
          <cell r="Q81">
            <v>41468</v>
          </cell>
          <cell r="R81">
            <v>72611</v>
          </cell>
          <cell r="U81">
            <v>12500</v>
          </cell>
          <cell r="V81">
            <v>0</v>
          </cell>
          <cell r="W81">
            <v>372425</v>
          </cell>
          <cell r="X81">
            <v>0.35899999999999999</v>
          </cell>
          <cell r="Y81">
            <v>0.29199999999999998</v>
          </cell>
          <cell r="Z81">
            <v>103</v>
          </cell>
          <cell r="AA81">
            <v>42</v>
          </cell>
          <cell r="AB81">
            <v>0.1104</v>
          </cell>
          <cell r="AC81">
            <v>0</v>
          </cell>
          <cell r="AD81">
            <v>0</v>
          </cell>
        </row>
        <row r="82">
          <cell r="A82">
            <v>272</v>
          </cell>
          <cell r="B82" t="str">
            <v>272 - Waconda</v>
          </cell>
          <cell r="C82" t="str">
            <v>Mitchell</v>
          </cell>
          <cell r="D82">
            <v>21204907</v>
          </cell>
          <cell r="E82">
            <v>18425793</v>
          </cell>
          <cell r="F82">
            <v>21946628</v>
          </cell>
          <cell r="G82">
            <v>19149957</v>
          </cell>
          <cell r="H82">
            <v>349.8</v>
          </cell>
          <cell r="I82">
            <v>370.3</v>
          </cell>
          <cell r="J82">
            <v>411.3</v>
          </cell>
          <cell r="K82">
            <v>3141332</v>
          </cell>
          <cell r="L82">
            <v>2</v>
          </cell>
          <cell r="M82">
            <v>0</v>
          </cell>
          <cell r="N82">
            <v>318007</v>
          </cell>
          <cell r="O82">
            <v>398589</v>
          </cell>
          <cell r="P82">
            <v>145125</v>
          </cell>
          <cell r="Q82">
            <v>53114</v>
          </cell>
          <cell r="R82">
            <v>93003</v>
          </cell>
          <cell r="U82">
            <v>75404</v>
          </cell>
          <cell r="V82">
            <v>0</v>
          </cell>
          <cell r="W82">
            <v>373480</v>
          </cell>
          <cell r="X82">
            <v>0.436</v>
          </cell>
          <cell r="Y82">
            <v>0.38100000000000001</v>
          </cell>
          <cell r="Z82">
            <v>165</v>
          </cell>
          <cell r="AA82">
            <v>41</v>
          </cell>
          <cell r="AB82">
            <v>0.44479999999999997</v>
          </cell>
          <cell r="AC82">
            <v>0.06</v>
          </cell>
          <cell r="AD82">
            <v>0.26</v>
          </cell>
        </row>
        <row r="83">
          <cell r="A83">
            <v>273</v>
          </cell>
          <cell r="B83" t="str">
            <v>273 - Beloit</v>
          </cell>
          <cell r="C83" t="str">
            <v>Mitchell</v>
          </cell>
          <cell r="D83">
            <v>44910012</v>
          </cell>
          <cell r="E83">
            <v>40259767</v>
          </cell>
          <cell r="F83">
            <v>45842093</v>
          </cell>
          <cell r="G83">
            <v>41183507</v>
          </cell>
          <cell r="H83">
            <v>737.4</v>
          </cell>
          <cell r="I83">
            <v>712.8</v>
          </cell>
          <cell r="J83">
            <v>565</v>
          </cell>
          <cell r="K83">
            <v>6088812</v>
          </cell>
          <cell r="L83">
            <v>55</v>
          </cell>
          <cell r="M83">
            <v>0</v>
          </cell>
          <cell r="N83">
            <v>765596</v>
          </cell>
          <cell r="O83">
            <v>801399</v>
          </cell>
          <cell r="P83">
            <v>261649</v>
          </cell>
          <cell r="Q83">
            <v>92368</v>
          </cell>
          <cell r="R83">
            <v>161736</v>
          </cell>
          <cell r="U83">
            <v>177496</v>
          </cell>
          <cell r="V83">
            <v>0</v>
          </cell>
          <cell r="W83">
            <v>824819</v>
          </cell>
          <cell r="X83">
            <v>0.255</v>
          </cell>
          <cell r="Y83">
            <v>0.23400000000000001</v>
          </cell>
          <cell r="Z83">
            <v>191</v>
          </cell>
          <cell r="AA83">
            <v>118</v>
          </cell>
          <cell r="AB83">
            <v>0.45150000000000001</v>
          </cell>
          <cell r="AC83">
            <v>0.06</v>
          </cell>
          <cell r="AD83">
            <v>0.26</v>
          </cell>
        </row>
        <row r="84">
          <cell r="A84">
            <v>274</v>
          </cell>
          <cell r="B84" t="str">
            <v>274 - Oakley</v>
          </cell>
          <cell r="C84" t="str">
            <v>Logan</v>
          </cell>
          <cell r="D84">
            <v>33174932</v>
          </cell>
          <cell r="E84">
            <v>30659422</v>
          </cell>
          <cell r="F84">
            <v>49295233</v>
          </cell>
          <cell r="G84">
            <v>46772293</v>
          </cell>
          <cell r="H84">
            <v>413.4</v>
          </cell>
          <cell r="I84">
            <v>403</v>
          </cell>
          <cell r="J84">
            <v>637</v>
          </cell>
          <cell r="K84">
            <v>3246450</v>
          </cell>
          <cell r="L84">
            <v>19</v>
          </cell>
          <cell r="M84">
            <v>0</v>
          </cell>
          <cell r="N84">
            <v>384927</v>
          </cell>
          <cell r="O84">
            <v>459841</v>
          </cell>
          <cell r="P84">
            <v>152493</v>
          </cell>
          <cell r="Q84">
            <v>57101</v>
          </cell>
          <cell r="R84">
            <v>99983</v>
          </cell>
          <cell r="U84">
            <v>14132</v>
          </cell>
          <cell r="V84">
            <v>0</v>
          </cell>
          <cell r="W84">
            <v>508174</v>
          </cell>
          <cell r="X84">
            <v>0.36499999999999999</v>
          </cell>
          <cell r="Y84">
            <v>0.35799999999999998</v>
          </cell>
          <cell r="Z84">
            <v>151</v>
          </cell>
          <cell r="AA84">
            <v>65</v>
          </cell>
          <cell r="AB84">
            <v>0</v>
          </cell>
          <cell r="AC84">
            <v>0</v>
          </cell>
          <cell r="AD84">
            <v>0</v>
          </cell>
        </row>
        <row r="85">
          <cell r="A85">
            <v>275</v>
          </cell>
          <cell r="B85" t="str">
            <v>275 - Triplains</v>
          </cell>
          <cell r="C85" t="str">
            <v>Logan</v>
          </cell>
          <cell r="D85">
            <v>15245462</v>
          </cell>
          <cell r="E85">
            <v>14788098</v>
          </cell>
          <cell r="F85">
            <v>17114937</v>
          </cell>
          <cell r="G85">
            <v>16655542</v>
          </cell>
          <cell r="H85">
            <v>82.5</v>
          </cell>
          <cell r="I85">
            <v>77.8</v>
          </cell>
          <cell r="J85">
            <v>662</v>
          </cell>
          <cell r="K85">
            <v>868896</v>
          </cell>
          <cell r="L85">
            <v>0</v>
          </cell>
          <cell r="M85">
            <v>0</v>
          </cell>
          <cell r="N85">
            <v>82957</v>
          </cell>
          <cell r="O85">
            <v>87636</v>
          </cell>
          <cell r="P85">
            <v>46006</v>
          </cell>
          <cell r="Q85">
            <v>16454</v>
          </cell>
          <cell r="R85">
            <v>28810</v>
          </cell>
          <cell r="U85">
            <v>0</v>
          </cell>
          <cell r="V85">
            <v>0</v>
          </cell>
          <cell r="W85">
            <v>121926</v>
          </cell>
          <cell r="X85">
            <v>0.436</v>
          </cell>
          <cell r="Y85">
            <v>0.34699999999999998</v>
          </cell>
          <cell r="Z85">
            <v>36</v>
          </cell>
          <cell r="AA85">
            <v>4</v>
          </cell>
          <cell r="AB85">
            <v>0</v>
          </cell>
          <cell r="AC85">
            <v>0</v>
          </cell>
          <cell r="AD85">
            <v>0</v>
          </cell>
        </row>
        <row r="86">
          <cell r="A86">
            <v>281</v>
          </cell>
          <cell r="B86" t="str">
            <v>281 - Graham County</v>
          </cell>
          <cell r="C86" t="str">
            <v>Graham</v>
          </cell>
          <cell r="D86">
            <v>42116647</v>
          </cell>
          <cell r="E86">
            <v>39461427</v>
          </cell>
          <cell r="F86">
            <v>47766151</v>
          </cell>
          <cell r="G86">
            <v>45110823</v>
          </cell>
          <cell r="H86">
            <v>363.1</v>
          </cell>
          <cell r="I86">
            <v>362.3</v>
          </cell>
          <cell r="J86">
            <v>728.3</v>
          </cell>
          <cell r="K86">
            <v>2828341</v>
          </cell>
          <cell r="L86">
            <v>21</v>
          </cell>
          <cell r="M86">
            <v>0</v>
          </cell>
          <cell r="N86">
            <v>385836</v>
          </cell>
          <cell r="O86">
            <v>364250</v>
          </cell>
          <cell r="P86">
            <v>138805</v>
          </cell>
          <cell r="Q86">
            <v>50601</v>
          </cell>
          <cell r="R86">
            <v>88603</v>
          </cell>
          <cell r="U86">
            <v>0</v>
          </cell>
          <cell r="V86">
            <v>0</v>
          </cell>
          <cell r="W86">
            <v>452779</v>
          </cell>
          <cell r="X86">
            <v>0.28899999999999998</v>
          </cell>
          <cell r="Y86">
            <v>0.246</v>
          </cell>
          <cell r="Z86">
            <v>105</v>
          </cell>
          <cell r="AA86">
            <v>67</v>
          </cell>
          <cell r="AB86">
            <v>0</v>
          </cell>
          <cell r="AC86">
            <v>0</v>
          </cell>
          <cell r="AD86">
            <v>0</v>
          </cell>
        </row>
        <row r="87">
          <cell r="A87">
            <v>282</v>
          </cell>
          <cell r="B87" t="str">
            <v>282 - West Elk</v>
          </cell>
          <cell r="C87" t="str">
            <v>Elk</v>
          </cell>
          <cell r="D87">
            <v>18661764</v>
          </cell>
          <cell r="E87">
            <v>15655112</v>
          </cell>
          <cell r="F87">
            <v>18390444</v>
          </cell>
          <cell r="G87">
            <v>15395317</v>
          </cell>
          <cell r="H87">
            <v>332</v>
          </cell>
          <cell r="I87">
            <v>302</v>
          </cell>
          <cell r="J87">
            <v>541</v>
          </cell>
          <cell r="K87">
            <v>3159836</v>
          </cell>
          <cell r="L87">
            <v>20</v>
          </cell>
          <cell r="M87">
            <v>0</v>
          </cell>
          <cell r="N87">
            <v>534556</v>
          </cell>
          <cell r="O87">
            <v>537426</v>
          </cell>
          <cell r="P87">
            <v>148230</v>
          </cell>
          <cell r="Q87">
            <v>54660</v>
          </cell>
          <cell r="R87">
            <v>95710</v>
          </cell>
          <cell r="U87">
            <v>118628</v>
          </cell>
          <cell r="V87">
            <v>0</v>
          </cell>
          <cell r="W87">
            <v>544334</v>
          </cell>
          <cell r="X87">
            <v>0.42</v>
          </cell>
          <cell r="Y87">
            <v>0.43</v>
          </cell>
          <cell r="Z87">
            <v>142</v>
          </cell>
          <cell r="AA87">
            <v>43</v>
          </cell>
          <cell r="AB87">
            <v>0.42709999999999998</v>
          </cell>
          <cell r="AC87">
            <v>0.04</v>
          </cell>
          <cell r="AD87">
            <v>0.24</v>
          </cell>
        </row>
        <row r="88">
          <cell r="A88">
            <v>283</v>
          </cell>
          <cell r="B88" t="str">
            <v>283 - Elk Valley</v>
          </cell>
          <cell r="C88" t="str">
            <v>Elk</v>
          </cell>
          <cell r="D88">
            <v>12681353</v>
          </cell>
          <cell r="E88">
            <v>11882330</v>
          </cell>
          <cell r="F88">
            <v>11808958</v>
          </cell>
          <cell r="G88">
            <v>11007667</v>
          </cell>
          <cell r="H88">
            <v>186.6</v>
          </cell>
          <cell r="I88">
            <v>176.5</v>
          </cell>
          <cell r="J88">
            <v>160</v>
          </cell>
          <cell r="K88">
            <v>1956689</v>
          </cell>
          <cell r="L88">
            <v>23</v>
          </cell>
          <cell r="M88">
            <v>0</v>
          </cell>
          <cell r="N88">
            <v>273306</v>
          </cell>
          <cell r="O88">
            <v>272010</v>
          </cell>
          <cell r="P88">
            <v>88842</v>
          </cell>
          <cell r="Q88">
            <v>35058</v>
          </cell>
          <cell r="R88">
            <v>61386</v>
          </cell>
          <cell r="U88">
            <v>9785</v>
          </cell>
          <cell r="V88">
            <v>0</v>
          </cell>
          <cell r="W88">
            <v>299912</v>
          </cell>
          <cell r="X88">
            <v>0.621</v>
          </cell>
          <cell r="Y88">
            <v>0.66600000000000004</v>
          </cell>
          <cell r="Z88">
            <v>119</v>
          </cell>
          <cell r="AA88">
            <v>28</v>
          </cell>
          <cell r="AB88">
            <v>0.37580000000000002</v>
          </cell>
          <cell r="AC88">
            <v>0</v>
          </cell>
          <cell r="AD88">
            <v>0.19</v>
          </cell>
        </row>
        <row r="89">
          <cell r="A89">
            <v>284</v>
          </cell>
          <cell r="B89" t="str">
            <v>284 - Chase County</v>
          </cell>
          <cell r="C89" t="str">
            <v>Chase</v>
          </cell>
          <cell r="D89">
            <v>38722190</v>
          </cell>
          <cell r="E89">
            <v>35606443</v>
          </cell>
          <cell r="F89">
            <v>39949090</v>
          </cell>
          <cell r="G89">
            <v>36844466</v>
          </cell>
          <cell r="H89">
            <v>405.1</v>
          </cell>
          <cell r="I89">
            <v>387.5</v>
          </cell>
          <cell r="J89">
            <v>780</v>
          </cell>
          <cell r="K89">
            <v>3146450</v>
          </cell>
          <cell r="L89">
            <v>18</v>
          </cell>
          <cell r="M89">
            <v>0</v>
          </cell>
          <cell r="N89">
            <v>450716</v>
          </cell>
          <cell r="O89">
            <v>375410</v>
          </cell>
          <cell r="P89">
            <v>165241</v>
          </cell>
          <cell r="Q89">
            <v>58921</v>
          </cell>
          <cell r="R89">
            <v>103170</v>
          </cell>
          <cell r="U89">
            <v>25610</v>
          </cell>
          <cell r="V89">
            <v>0</v>
          </cell>
          <cell r="W89">
            <v>443057</v>
          </cell>
          <cell r="X89">
            <v>0.24399999999999999</v>
          </cell>
          <cell r="Y89">
            <v>0.23799999999999999</v>
          </cell>
          <cell r="Z89">
            <v>99</v>
          </cell>
          <cell r="AA89">
            <v>57</v>
          </cell>
          <cell r="AB89">
            <v>1.09E-2</v>
          </cell>
          <cell r="AC89">
            <v>0</v>
          </cell>
          <cell r="AD89">
            <v>0</v>
          </cell>
        </row>
        <row r="90">
          <cell r="A90">
            <v>285</v>
          </cell>
          <cell r="B90" t="str">
            <v>285 - Cedar Vale</v>
          </cell>
          <cell r="C90" t="str">
            <v>Chautauqua</v>
          </cell>
          <cell r="D90">
            <v>6689653</v>
          </cell>
          <cell r="E90">
            <v>5817086</v>
          </cell>
          <cell r="F90">
            <v>6687652</v>
          </cell>
          <cell r="G90">
            <v>5821993</v>
          </cell>
          <cell r="H90">
            <v>144</v>
          </cell>
          <cell r="I90">
            <v>134.69999999999999</v>
          </cell>
          <cell r="J90">
            <v>259</v>
          </cell>
          <cell r="K90">
            <v>1360234</v>
          </cell>
          <cell r="L90">
            <v>6</v>
          </cell>
          <cell r="M90">
            <v>0</v>
          </cell>
          <cell r="N90">
            <v>101403</v>
          </cell>
          <cell r="O90">
            <v>116972</v>
          </cell>
          <cell r="P90">
            <v>66560</v>
          </cell>
          <cell r="Q90">
            <v>25579</v>
          </cell>
          <cell r="R90">
            <v>44788</v>
          </cell>
          <cell r="U90">
            <v>32142</v>
          </cell>
          <cell r="V90">
            <v>0</v>
          </cell>
          <cell r="W90">
            <v>122186</v>
          </cell>
          <cell r="X90">
            <v>0.41</v>
          </cell>
          <cell r="Y90">
            <v>0.42399999999999999</v>
          </cell>
          <cell r="Z90">
            <v>59</v>
          </cell>
          <cell r="AA90">
            <v>19</v>
          </cell>
          <cell r="AB90">
            <v>0.52370000000000005</v>
          </cell>
          <cell r="AC90">
            <v>0.14000000000000001</v>
          </cell>
          <cell r="AD90">
            <v>0.34</v>
          </cell>
        </row>
        <row r="91">
          <cell r="A91">
            <v>286</v>
          </cell>
          <cell r="B91" t="str">
            <v>286 - Chautauqua</v>
          </cell>
          <cell r="C91" t="str">
            <v>Chautauqua</v>
          </cell>
          <cell r="D91">
            <v>17982244</v>
          </cell>
          <cell r="E91">
            <v>15305649</v>
          </cell>
          <cell r="F91">
            <v>19326427</v>
          </cell>
          <cell r="G91">
            <v>16646246</v>
          </cell>
          <cell r="H91">
            <v>361.5</v>
          </cell>
          <cell r="I91">
            <v>340</v>
          </cell>
          <cell r="J91">
            <v>382.5</v>
          </cell>
          <cell r="K91">
            <v>2981884</v>
          </cell>
          <cell r="L91">
            <v>24</v>
          </cell>
          <cell r="M91">
            <v>0</v>
          </cell>
          <cell r="N91">
            <v>376597</v>
          </cell>
          <cell r="O91">
            <v>366373</v>
          </cell>
          <cell r="P91">
            <v>145190</v>
          </cell>
          <cell r="Q91">
            <v>54596</v>
          </cell>
          <cell r="R91">
            <v>95597</v>
          </cell>
          <cell r="U91">
            <v>75128</v>
          </cell>
          <cell r="V91">
            <v>0</v>
          </cell>
          <cell r="W91">
            <v>503240</v>
          </cell>
          <cell r="X91">
            <v>0.442</v>
          </cell>
          <cell r="Y91">
            <v>0.436</v>
          </cell>
          <cell r="Z91">
            <v>162</v>
          </cell>
          <cell r="AA91">
            <v>48</v>
          </cell>
          <cell r="AB91">
            <v>0.4627</v>
          </cell>
          <cell r="AC91">
            <v>0.08</v>
          </cell>
          <cell r="AD91">
            <v>0.28000000000000003</v>
          </cell>
        </row>
        <row r="92">
          <cell r="A92">
            <v>287</v>
          </cell>
          <cell r="B92" t="str">
            <v>287 - West Franklin</v>
          </cell>
          <cell r="C92" t="str">
            <v>Franklin</v>
          </cell>
          <cell r="D92">
            <v>37588129</v>
          </cell>
          <cell r="E92">
            <v>32776285</v>
          </cell>
          <cell r="F92">
            <v>37620616</v>
          </cell>
          <cell r="G92">
            <v>32839221</v>
          </cell>
          <cell r="H92">
            <v>700.5</v>
          </cell>
          <cell r="I92">
            <v>643</v>
          </cell>
          <cell r="J92">
            <v>227</v>
          </cell>
          <cell r="K92">
            <v>5539359</v>
          </cell>
          <cell r="L92">
            <v>39</v>
          </cell>
          <cell r="M92">
            <v>0</v>
          </cell>
          <cell r="N92">
            <v>803870</v>
          </cell>
          <cell r="O92">
            <v>813826</v>
          </cell>
          <cell r="P92">
            <v>273719</v>
          </cell>
          <cell r="Q92">
            <v>99237</v>
          </cell>
          <cell r="R92">
            <v>173765</v>
          </cell>
          <cell r="U92">
            <v>198280</v>
          </cell>
          <cell r="V92">
            <v>0</v>
          </cell>
          <cell r="W92">
            <v>928124</v>
          </cell>
          <cell r="X92">
            <v>0.4</v>
          </cell>
          <cell r="Y92">
            <v>0.41599999999999998</v>
          </cell>
          <cell r="Z92">
            <v>280</v>
          </cell>
          <cell r="AA92">
            <v>82</v>
          </cell>
          <cell r="AB92">
            <v>0.43869999999999998</v>
          </cell>
          <cell r="AC92">
            <v>0.05</v>
          </cell>
          <cell r="AD92">
            <v>0.25</v>
          </cell>
        </row>
        <row r="93">
          <cell r="A93">
            <v>288</v>
          </cell>
          <cell r="B93" t="str">
            <v>288 - Central Heights</v>
          </cell>
          <cell r="C93" t="str">
            <v>Franklin</v>
          </cell>
          <cell r="D93">
            <v>22299949</v>
          </cell>
          <cell r="E93">
            <v>19467462</v>
          </cell>
          <cell r="F93">
            <v>22555774</v>
          </cell>
          <cell r="G93">
            <v>19736919</v>
          </cell>
          <cell r="H93">
            <v>527</v>
          </cell>
          <cell r="I93">
            <v>545.9</v>
          </cell>
          <cell r="J93">
            <v>142.1</v>
          </cell>
          <cell r="K93">
            <v>4513377</v>
          </cell>
          <cell r="L93">
            <v>32</v>
          </cell>
          <cell r="M93">
            <v>0</v>
          </cell>
          <cell r="N93">
            <v>501557</v>
          </cell>
          <cell r="O93">
            <v>542356</v>
          </cell>
          <cell r="P93">
            <v>214090</v>
          </cell>
          <cell r="Q93">
            <v>77952</v>
          </cell>
          <cell r="R93">
            <v>136493</v>
          </cell>
          <cell r="U93">
            <v>162507</v>
          </cell>
          <cell r="V93">
            <v>0</v>
          </cell>
          <cell r="W93">
            <v>479646</v>
          </cell>
          <cell r="X93">
            <v>0.497</v>
          </cell>
          <cell r="Y93">
            <v>0.38800000000000001</v>
          </cell>
          <cell r="Z93">
            <v>274</v>
          </cell>
          <cell r="AA93">
            <v>89</v>
          </cell>
          <cell r="AB93">
            <v>0.60719999999999996</v>
          </cell>
          <cell r="AC93">
            <v>0.23</v>
          </cell>
          <cell r="AD93">
            <v>0.43</v>
          </cell>
        </row>
        <row r="94">
          <cell r="A94">
            <v>289</v>
          </cell>
          <cell r="B94" t="str">
            <v>289 - Wellsville</v>
          </cell>
          <cell r="C94" t="str">
            <v>Franklin</v>
          </cell>
          <cell r="D94">
            <v>44571482</v>
          </cell>
          <cell r="E94">
            <v>40386159</v>
          </cell>
          <cell r="F94">
            <v>45145781</v>
          </cell>
          <cell r="G94">
            <v>40958929</v>
          </cell>
          <cell r="H94">
            <v>842.7</v>
          </cell>
          <cell r="I94">
            <v>807.1</v>
          </cell>
          <cell r="J94">
            <v>130</v>
          </cell>
          <cell r="K94">
            <v>5611392</v>
          </cell>
          <cell r="L94">
            <v>36</v>
          </cell>
          <cell r="M94">
            <v>0</v>
          </cell>
          <cell r="N94">
            <v>584445</v>
          </cell>
          <cell r="O94">
            <v>689124</v>
          </cell>
          <cell r="P94">
            <v>268361</v>
          </cell>
          <cell r="Q94">
            <v>100671</v>
          </cell>
          <cell r="R94">
            <v>176275</v>
          </cell>
          <cell r="U94">
            <v>213781</v>
          </cell>
          <cell r="V94">
            <v>0</v>
          </cell>
          <cell r="W94">
            <v>787622</v>
          </cell>
          <cell r="X94">
            <v>0.218</v>
          </cell>
          <cell r="Y94">
            <v>0.20599999999999999</v>
          </cell>
          <cell r="Z94">
            <v>184</v>
          </cell>
          <cell r="AA94">
            <v>102</v>
          </cell>
          <cell r="AB94">
            <v>0.46329999999999999</v>
          </cell>
          <cell r="AC94">
            <v>0.08</v>
          </cell>
          <cell r="AD94">
            <v>0.28000000000000003</v>
          </cell>
        </row>
        <row r="95">
          <cell r="A95">
            <v>290</v>
          </cell>
          <cell r="B95" t="str">
            <v>290 - Ottawa</v>
          </cell>
          <cell r="C95" t="str">
            <v>Franklin</v>
          </cell>
          <cell r="D95">
            <v>117721270</v>
          </cell>
          <cell r="E95">
            <v>105863445</v>
          </cell>
          <cell r="F95">
            <v>116775726</v>
          </cell>
          <cell r="G95">
            <v>104936337</v>
          </cell>
          <cell r="H95">
            <v>2421.8000000000002</v>
          </cell>
          <cell r="I95">
            <v>2402.1999999999998</v>
          </cell>
          <cell r="J95">
            <v>115.9</v>
          </cell>
          <cell r="K95">
            <v>14387669</v>
          </cell>
          <cell r="L95">
            <v>132</v>
          </cell>
          <cell r="M95">
            <v>0</v>
          </cell>
          <cell r="N95">
            <v>1471856</v>
          </cell>
          <cell r="O95">
            <v>1610963</v>
          </cell>
          <cell r="P95">
            <v>720419</v>
          </cell>
          <cell r="Q95">
            <v>259449</v>
          </cell>
          <cell r="R95">
            <v>454295</v>
          </cell>
          <cell r="U95">
            <v>564907</v>
          </cell>
          <cell r="V95">
            <v>0</v>
          </cell>
          <cell r="W95">
            <v>1820815</v>
          </cell>
          <cell r="X95">
            <v>0.47</v>
          </cell>
          <cell r="Y95">
            <v>0.443</v>
          </cell>
          <cell r="Z95">
            <v>1146</v>
          </cell>
          <cell r="AA95">
            <v>216</v>
          </cell>
          <cell r="AB95">
            <v>0.54139999999999999</v>
          </cell>
          <cell r="AC95">
            <v>0.16</v>
          </cell>
          <cell r="AD95">
            <v>0.36</v>
          </cell>
        </row>
        <row r="96">
          <cell r="A96">
            <v>291</v>
          </cell>
          <cell r="B96" t="str">
            <v>291 - Grinnell</v>
          </cell>
          <cell r="C96" t="str">
            <v>Gove</v>
          </cell>
          <cell r="D96">
            <v>14220956</v>
          </cell>
          <cell r="E96">
            <v>13595145</v>
          </cell>
          <cell r="F96">
            <v>13401253</v>
          </cell>
          <cell r="G96">
            <v>12779066</v>
          </cell>
          <cell r="H96">
            <v>72.8</v>
          </cell>
          <cell r="I96">
            <v>71.5</v>
          </cell>
          <cell r="J96">
            <v>267.8</v>
          </cell>
          <cell r="K96">
            <v>762203</v>
          </cell>
          <cell r="L96">
            <v>0</v>
          </cell>
          <cell r="M96">
            <v>0</v>
          </cell>
          <cell r="N96">
            <v>80967</v>
          </cell>
          <cell r="O96">
            <v>85843</v>
          </cell>
          <cell r="P96">
            <v>47624</v>
          </cell>
          <cell r="Q96">
            <v>15036</v>
          </cell>
          <cell r="R96">
            <v>26328</v>
          </cell>
          <cell r="U96">
            <v>0</v>
          </cell>
          <cell r="V96">
            <v>0</v>
          </cell>
          <cell r="W96">
            <v>85263</v>
          </cell>
          <cell r="X96">
            <v>0.17399999999999999</v>
          </cell>
          <cell r="Y96">
            <v>0.17100000000000001</v>
          </cell>
          <cell r="Z96">
            <v>13</v>
          </cell>
          <cell r="AA96">
            <v>3</v>
          </cell>
          <cell r="AB96">
            <v>0</v>
          </cell>
          <cell r="AC96">
            <v>0</v>
          </cell>
          <cell r="AD96">
            <v>0</v>
          </cell>
        </row>
        <row r="97">
          <cell r="A97">
            <v>292</v>
          </cell>
          <cell r="B97" t="str">
            <v>292 - Wheatland</v>
          </cell>
          <cell r="C97" t="str">
            <v>Gove</v>
          </cell>
          <cell r="D97">
            <v>10585720</v>
          </cell>
          <cell r="E97">
            <v>9699591</v>
          </cell>
          <cell r="F97">
            <v>11881915</v>
          </cell>
          <cell r="G97">
            <v>10992360</v>
          </cell>
          <cell r="H97">
            <v>102</v>
          </cell>
          <cell r="I97">
            <v>104</v>
          </cell>
          <cell r="J97">
            <v>437</v>
          </cell>
          <cell r="K97">
            <v>1143699</v>
          </cell>
          <cell r="L97">
            <v>7</v>
          </cell>
          <cell r="M97">
            <v>0</v>
          </cell>
          <cell r="N97">
            <v>153531</v>
          </cell>
          <cell r="O97">
            <v>165305</v>
          </cell>
          <cell r="P97">
            <v>64658</v>
          </cell>
          <cell r="Q97">
            <v>21383</v>
          </cell>
          <cell r="R97">
            <v>37441</v>
          </cell>
          <cell r="U97">
            <v>0</v>
          </cell>
          <cell r="V97">
            <v>0</v>
          </cell>
          <cell r="W97">
            <v>197465</v>
          </cell>
          <cell r="X97">
            <v>0.23599999999999999</v>
          </cell>
          <cell r="Y97">
            <v>0.22500000000000001</v>
          </cell>
          <cell r="Z97">
            <v>25</v>
          </cell>
          <cell r="AA97">
            <v>17</v>
          </cell>
          <cell r="AB97">
            <v>0</v>
          </cell>
          <cell r="AC97">
            <v>0</v>
          </cell>
          <cell r="AD97">
            <v>0</v>
          </cell>
        </row>
        <row r="98">
          <cell r="A98">
            <v>293</v>
          </cell>
          <cell r="B98" t="str">
            <v>293 - Quinter</v>
          </cell>
          <cell r="C98" t="str">
            <v>Gove</v>
          </cell>
          <cell r="D98">
            <v>18809863</v>
          </cell>
          <cell r="E98">
            <v>17447324</v>
          </cell>
          <cell r="F98">
            <v>20502327</v>
          </cell>
          <cell r="G98">
            <v>19135400</v>
          </cell>
          <cell r="H98">
            <v>263.5</v>
          </cell>
          <cell r="I98">
            <v>264.5</v>
          </cell>
          <cell r="J98">
            <v>400.8</v>
          </cell>
          <cell r="K98">
            <v>2240153</v>
          </cell>
          <cell r="L98">
            <v>34</v>
          </cell>
          <cell r="M98">
            <v>0</v>
          </cell>
          <cell r="N98">
            <v>305875</v>
          </cell>
          <cell r="O98">
            <v>333726</v>
          </cell>
          <cell r="P98">
            <v>107581</v>
          </cell>
          <cell r="Q98">
            <v>39270</v>
          </cell>
          <cell r="R98">
            <v>68761</v>
          </cell>
          <cell r="U98">
            <v>48559</v>
          </cell>
          <cell r="V98">
            <v>0</v>
          </cell>
          <cell r="W98">
            <v>368645</v>
          </cell>
          <cell r="X98">
            <v>0.27800000000000002</v>
          </cell>
          <cell r="Y98">
            <v>0.23</v>
          </cell>
          <cell r="Z98">
            <v>74</v>
          </cell>
          <cell r="AA98">
            <v>31</v>
          </cell>
          <cell r="AB98">
            <v>0.26050000000000001</v>
          </cell>
          <cell r="AC98">
            <v>0</v>
          </cell>
          <cell r="AD98">
            <v>7.0000000000000007E-2</v>
          </cell>
        </row>
        <row r="99">
          <cell r="A99">
            <v>294</v>
          </cell>
          <cell r="B99" t="str">
            <v>294 - Oberlin</v>
          </cell>
          <cell r="C99" t="str">
            <v>Decatur</v>
          </cell>
          <cell r="D99">
            <v>29517201</v>
          </cell>
          <cell r="E99">
            <v>26460987</v>
          </cell>
          <cell r="F99">
            <v>32623390</v>
          </cell>
          <cell r="G99">
            <v>29570356</v>
          </cell>
          <cell r="H99">
            <v>358</v>
          </cell>
          <cell r="I99">
            <v>349.5</v>
          </cell>
          <cell r="J99">
            <v>828</v>
          </cell>
          <cell r="K99">
            <v>2738971</v>
          </cell>
          <cell r="L99">
            <v>27</v>
          </cell>
          <cell r="M99">
            <v>0</v>
          </cell>
          <cell r="N99">
            <v>279925</v>
          </cell>
          <cell r="O99">
            <v>308279</v>
          </cell>
          <cell r="P99">
            <v>144075</v>
          </cell>
          <cell r="Q99">
            <v>51221</v>
          </cell>
          <cell r="R99">
            <v>89689</v>
          </cell>
          <cell r="U99">
            <v>14054</v>
          </cell>
          <cell r="V99">
            <v>0</v>
          </cell>
          <cell r="W99">
            <v>336024</v>
          </cell>
          <cell r="X99">
            <v>0.30199999999999999</v>
          </cell>
          <cell r="Y99">
            <v>0.27900000000000003</v>
          </cell>
          <cell r="Z99">
            <v>108</v>
          </cell>
          <cell r="AA99">
            <v>58</v>
          </cell>
          <cell r="AB99">
            <v>0.10440000000000001</v>
          </cell>
          <cell r="AC99">
            <v>0</v>
          </cell>
          <cell r="AD99">
            <v>0</v>
          </cell>
        </row>
        <row r="100">
          <cell r="A100">
            <v>297</v>
          </cell>
          <cell r="B100" t="str">
            <v>297 - St. Francis</v>
          </cell>
          <cell r="C100" t="str">
            <v>Cheyenne</v>
          </cell>
          <cell r="D100">
            <v>35639406</v>
          </cell>
          <cell r="E100">
            <v>33392915</v>
          </cell>
          <cell r="F100">
            <v>26632502</v>
          </cell>
          <cell r="G100">
            <v>24373569</v>
          </cell>
          <cell r="H100">
            <v>286.3</v>
          </cell>
          <cell r="I100">
            <v>288.89999999999998</v>
          </cell>
          <cell r="J100">
            <v>640</v>
          </cell>
          <cell r="K100">
            <v>2202752</v>
          </cell>
          <cell r="L100">
            <v>11</v>
          </cell>
          <cell r="M100">
            <v>0</v>
          </cell>
          <cell r="N100">
            <v>186585</v>
          </cell>
          <cell r="O100">
            <v>192842</v>
          </cell>
          <cell r="P100">
            <v>113375</v>
          </cell>
          <cell r="Q100">
            <v>41476</v>
          </cell>
          <cell r="R100">
            <v>72625</v>
          </cell>
          <cell r="U100">
            <v>5011</v>
          </cell>
          <cell r="V100">
            <v>0</v>
          </cell>
          <cell r="W100">
            <v>211022</v>
          </cell>
          <cell r="X100">
            <v>0.30299999999999999</v>
          </cell>
          <cell r="Y100">
            <v>0.27600000000000002</v>
          </cell>
          <cell r="Z100">
            <v>88</v>
          </cell>
          <cell r="AA100">
            <v>42</v>
          </cell>
          <cell r="AB100">
            <v>0.11550000000000001</v>
          </cell>
          <cell r="AC100">
            <v>0</v>
          </cell>
          <cell r="AD100">
            <v>0</v>
          </cell>
        </row>
        <row r="101">
          <cell r="A101">
            <v>298</v>
          </cell>
          <cell r="B101" t="str">
            <v>298 - Lincoln</v>
          </cell>
          <cell r="C101" t="str">
            <v>Lincoln</v>
          </cell>
          <cell r="D101">
            <v>23825863</v>
          </cell>
          <cell r="E101">
            <v>21398547</v>
          </cell>
          <cell r="F101">
            <v>23648048</v>
          </cell>
          <cell r="G101">
            <v>21236043</v>
          </cell>
          <cell r="H101">
            <v>334.5</v>
          </cell>
          <cell r="I101">
            <v>350.5</v>
          </cell>
          <cell r="J101">
            <v>444</v>
          </cell>
          <cell r="K101">
            <v>2972041</v>
          </cell>
          <cell r="L101">
            <v>17</v>
          </cell>
          <cell r="M101">
            <v>0</v>
          </cell>
          <cell r="N101">
            <v>317229</v>
          </cell>
          <cell r="O101">
            <v>420633</v>
          </cell>
          <cell r="P101">
            <v>129797</v>
          </cell>
          <cell r="Q101">
            <v>49603</v>
          </cell>
          <cell r="R101">
            <v>86854</v>
          </cell>
          <cell r="U101">
            <v>69215</v>
          </cell>
          <cell r="V101">
            <v>0</v>
          </cell>
          <cell r="W101">
            <v>375477</v>
          </cell>
          <cell r="X101">
            <v>0.44</v>
          </cell>
          <cell r="Y101">
            <v>0.42399999999999999</v>
          </cell>
          <cell r="Z101">
            <v>157</v>
          </cell>
          <cell r="AA101">
            <v>59</v>
          </cell>
          <cell r="AB101">
            <v>0.3679</v>
          </cell>
          <cell r="AC101">
            <v>0</v>
          </cell>
          <cell r="AD101">
            <v>0.18</v>
          </cell>
        </row>
        <row r="102">
          <cell r="A102">
            <v>299</v>
          </cell>
          <cell r="B102" t="str">
            <v>299 - Sylvan Grove</v>
          </cell>
          <cell r="C102" t="str">
            <v>Lincoln</v>
          </cell>
          <cell r="D102">
            <v>13215765</v>
          </cell>
          <cell r="E102">
            <v>12151753</v>
          </cell>
          <cell r="F102">
            <v>20510940</v>
          </cell>
          <cell r="G102">
            <v>18579718</v>
          </cell>
          <cell r="H102">
            <v>123.5</v>
          </cell>
          <cell r="I102">
            <v>224.5</v>
          </cell>
          <cell r="J102">
            <v>623</v>
          </cell>
          <cell r="K102">
            <v>1987004</v>
          </cell>
          <cell r="L102">
            <v>18</v>
          </cell>
          <cell r="M102">
            <v>0</v>
          </cell>
          <cell r="N102">
            <v>129388</v>
          </cell>
          <cell r="O102">
            <v>144572</v>
          </cell>
          <cell r="P102">
            <v>67938</v>
          </cell>
          <cell r="Q102">
            <v>25047</v>
          </cell>
          <cell r="R102">
            <v>43857</v>
          </cell>
          <cell r="U102">
            <v>12550</v>
          </cell>
          <cell r="V102">
            <v>0</v>
          </cell>
          <cell r="W102">
            <v>152613</v>
          </cell>
          <cell r="X102">
            <v>0.34799999999999998</v>
          </cell>
          <cell r="Y102">
            <v>0.33500000000000002</v>
          </cell>
          <cell r="Z102">
            <v>79</v>
          </cell>
          <cell r="AA102">
            <v>52</v>
          </cell>
          <cell r="AB102">
            <v>0.15129999999999999</v>
          </cell>
          <cell r="AC102">
            <v>0</v>
          </cell>
          <cell r="AD102">
            <v>0</v>
          </cell>
        </row>
        <row r="103">
          <cell r="A103">
            <v>300</v>
          </cell>
          <cell r="B103" t="str">
            <v>300 - Commanche County</v>
          </cell>
          <cell r="C103" t="str">
            <v>Comanche</v>
          </cell>
          <cell r="D103">
            <v>53284643</v>
          </cell>
          <cell r="E103">
            <v>51411329</v>
          </cell>
          <cell r="F103">
            <v>38986709</v>
          </cell>
          <cell r="G103">
            <v>37083557</v>
          </cell>
          <cell r="H103">
            <v>317.10000000000002</v>
          </cell>
          <cell r="I103">
            <v>312</v>
          </cell>
          <cell r="J103">
            <v>864</v>
          </cell>
          <cell r="K103">
            <v>2605507</v>
          </cell>
          <cell r="L103">
            <v>25</v>
          </cell>
          <cell r="M103">
            <v>0</v>
          </cell>
          <cell r="N103">
            <v>310632</v>
          </cell>
          <cell r="O103">
            <v>369142</v>
          </cell>
          <cell r="P103">
            <v>123521</v>
          </cell>
          <cell r="Q103">
            <v>46075</v>
          </cell>
          <cell r="R103">
            <v>80677</v>
          </cell>
          <cell r="U103">
            <v>0</v>
          </cell>
          <cell r="V103">
            <v>0</v>
          </cell>
          <cell r="W103">
            <v>356029</v>
          </cell>
          <cell r="X103">
            <v>0.224</v>
          </cell>
          <cell r="Y103">
            <v>0.249</v>
          </cell>
          <cell r="Z103">
            <v>71</v>
          </cell>
          <cell r="AA103">
            <v>41</v>
          </cell>
          <cell r="AB103">
            <v>0</v>
          </cell>
          <cell r="AC103">
            <v>0</v>
          </cell>
          <cell r="AD103">
            <v>0</v>
          </cell>
        </row>
        <row r="104">
          <cell r="A104">
            <v>303</v>
          </cell>
          <cell r="B104" t="str">
            <v>303 - Ness City</v>
          </cell>
          <cell r="C104" t="str">
            <v>Ness</v>
          </cell>
          <cell r="D104">
            <v>32243708</v>
          </cell>
          <cell r="E104">
            <v>30530250</v>
          </cell>
          <cell r="F104">
            <v>38511541</v>
          </cell>
          <cell r="G104">
            <v>36787815</v>
          </cell>
          <cell r="H104">
            <v>291</v>
          </cell>
          <cell r="I104">
            <v>302.39999999999998</v>
          </cell>
          <cell r="J104">
            <v>517.79999999999995</v>
          </cell>
          <cell r="K104">
            <v>2221255</v>
          </cell>
          <cell r="L104">
            <v>27</v>
          </cell>
          <cell r="M104">
            <v>0</v>
          </cell>
          <cell r="N104">
            <v>192413</v>
          </cell>
          <cell r="O104">
            <v>205211</v>
          </cell>
          <cell r="P104">
            <v>103120</v>
          </cell>
          <cell r="Q104">
            <v>40148</v>
          </cell>
          <cell r="R104">
            <v>70298</v>
          </cell>
          <cell r="U104">
            <v>0</v>
          </cell>
          <cell r="V104">
            <v>0</v>
          </cell>
          <cell r="W104">
            <v>229741</v>
          </cell>
          <cell r="X104">
            <v>0.23100000000000001</v>
          </cell>
          <cell r="Y104">
            <v>0.22700000000000001</v>
          </cell>
          <cell r="Z104">
            <v>70</v>
          </cell>
          <cell r="AA104">
            <v>39</v>
          </cell>
          <cell r="AB104">
            <v>0</v>
          </cell>
          <cell r="AC104">
            <v>0</v>
          </cell>
          <cell r="AD104">
            <v>0</v>
          </cell>
        </row>
        <row r="105">
          <cell r="A105">
            <v>305</v>
          </cell>
          <cell r="B105" t="str">
            <v>305 - Salina</v>
          </cell>
          <cell r="C105" t="str">
            <v>Saline</v>
          </cell>
          <cell r="D105">
            <v>429038448</v>
          </cell>
          <cell r="E105">
            <v>389735731</v>
          </cell>
          <cell r="F105">
            <v>430810055</v>
          </cell>
          <cell r="G105">
            <v>391410818</v>
          </cell>
          <cell r="H105">
            <v>7006</v>
          </cell>
          <cell r="I105">
            <v>6928.9</v>
          </cell>
          <cell r="J105">
            <v>93</v>
          </cell>
          <cell r="K105">
            <v>42815662</v>
          </cell>
          <cell r="L105">
            <v>323</v>
          </cell>
          <cell r="M105">
            <v>0</v>
          </cell>
          <cell r="N105">
            <v>6157577</v>
          </cell>
          <cell r="O105">
            <v>6164142</v>
          </cell>
          <cell r="P105">
            <v>1990834</v>
          </cell>
          <cell r="Q105">
            <v>745763</v>
          </cell>
          <cell r="R105">
            <v>1305829</v>
          </cell>
          <cell r="U105">
            <v>1385505</v>
          </cell>
          <cell r="V105">
            <v>0</v>
          </cell>
          <cell r="W105">
            <v>6968955</v>
          </cell>
          <cell r="X105">
            <v>0.47399999999999998</v>
          </cell>
          <cell r="Y105">
            <v>0.45400000000000001</v>
          </cell>
          <cell r="Z105">
            <v>3336</v>
          </cell>
          <cell r="AA105">
            <v>846</v>
          </cell>
          <cell r="AB105">
            <v>0.4073</v>
          </cell>
          <cell r="AC105">
            <v>0.02</v>
          </cell>
          <cell r="AD105">
            <v>0.22</v>
          </cell>
        </row>
        <row r="106">
          <cell r="A106">
            <v>306</v>
          </cell>
          <cell r="B106" t="str">
            <v>306 - Southeast of Saline</v>
          </cell>
          <cell r="C106" t="str">
            <v>Saline</v>
          </cell>
          <cell r="D106">
            <v>60084430</v>
          </cell>
          <cell r="E106">
            <v>57216946</v>
          </cell>
          <cell r="F106">
            <v>60343314</v>
          </cell>
          <cell r="G106">
            <v>57487896</v>
          </cell>
          <cell r="H106">
            <v>690.8</v>
          </cell>
          <cell r="I106">
            <v>710</v>
          </cell>
          <cell r="J106">
            <v>217.5</v>
          </cell>
          <cell r="K106">
            <v>4948022</v>
          </cell>
          <cell r="L106">
            <v>60</v>
          </cell>
          <cell r="M106">
            <v>0</v>
          </cell>
          <cell r="N106">
            <v>511570</v>
          </cell>
          <cell r="O106">
            <v>550413</v>
          </cell>
          <cell r="P106">
            <v>238471</v>
          </cell>
          <cell r="Q106">
            <v>87995</v>
          </cell>
          <cell r="R106">
            <v>154078</v>
          </cell>
          <cell r="U106">
            <v>48930</v>
          </cell>
          <cell r="V106">
            <v>0</v>
          </cell>
          <cell r="W106">
            <v>603783</v>
          </cell>
          <cell r="X106">
            <v>0.159</v>
          </cell>
          <cell r="Y106">
            <v>0.126</v>
          </cell>
          <cell r="Z106">
            <v>113</v>
          </cell>
          <cell r="AA106">
            <v>79</v>
          </cell>
          <cell r="AB106">
            <v>0.18459999999999999</v>
          </cell>
          <cell r="AC106">
            <v>0</v>
          </cell>
          <cell r="AD106">
            <v>0</v>
          </cell>
        </row>
        <row r="107">
          <cell r="A107">
            <v>307</v>
          </cell>
          <cell r="B107" t="str">
            <v>307 - Ell-Saline</v>
          </cell>
          <cell r="C107" t="str">
            <v>Saline</v>
          </cell>
          <cell r="D107">
            <v>19898697</v>
          </cell>
          <cell r="E107">
            <v>18221201</v>
          </cell>
          <cell r="F107">
            <v>20072255</v>
          </cell>
          <cell r="G107">
            <v>18382942</v>
          </cell>
          <cell r="H107">
            <v>466</v>
          </cell>
          <cell r="I107">
            <v>461</v>
          </cell>
          <cell r="J107">
            <v>225</v>
          </cell>
          <cell r="K107">
            <v>3457867</v>
          </cell>
          <cell r="L107">
            <v>29</v>
          </cell>
          <cell r="M107">
            <v>0</v>
          </cell>
          <cell r="N107">
            <v>343107</v>
          </cell>
          <cell r="O107">
            <v>386013</v>
          </cell>
          <cell r="P107">
            <v>166050</v>
          </cell>
          <cell r="Q107">
            <v>62811</v>
          </cell>
          <cell r="R107">
            <v>109981</v>
          </cell>
          <cell r="U107">
            <v>141344</v>
          </cell>
          <cell r="V107">
            <v>0</v>
          </cell>
          <cell r="W107">
            <v>410156</v>
          </cell>
          <cell r="X107">
            <v>0.19500000000000001</v>
          </cell>
          <cell r="Y107">
            <v>0.182</v>
          </cell>
          <cell r="Z107">
            <v>91</v>
          </cell>
          <cell r="AA107">
            <v>77</v>
          </cell>
          <cell r="AB107">
            <v>0.58230000000000004</v>
          </cell>
          <cell r="AC107">
            <v>0.2</v>
          </cell>
          <cell r="AD107">
            <v>0.4</v>
          </cell>
        </row>
        <row r="108">
          <cell r="A108">
            <v>308</v>
          </cell>
          <cell r="B108" t="str">
            <v>308 - Hutchinson</v>
          </cell>
          <cell r="C108" t="str">
            <v>Reno</v>
          </cell>
          <cell r="D108">
            <v>195488169</v>
          </cell>
          <cell r="E108">
            <v>167552292</v>
          </cell>
          <cell r="F108">
            <v>194901294</v>
          </cell>
          <cell r="G108">
            <v>166933569</v>
          </cell>
          <cell r="H108">
            <v>4626.5</v>
          </cell>
          <cell r="I108">
            <v>4641</v>
          </cell>
          <cell r="J108">
            <v>14</v>
          </cell>
          <cell r="K108">
            <v>29621988</v>
          </cell>
          <cell r="L108">
            <v>240</v>
          </cell>
          <cell r="M108">
            <v>0</v>
          </cell>
          <cell r="N108">
            <v>3414296</v>
          </cell>
          <cell r="O108">
            <v>3469358</v>
          </cell>
          <cell r="P108">
            <v>1341260</v>
          </cell>
          <cell r="Q108">
            <v>518400</v>
          </cell>
          <cell r="R108">
            <v>907716</v>
          </cell>
          <cell r="U108">
            <v>1063520</v>
          </cell>
          <cell r="V108">
            <v>0</v>
          </cell>
          <cell r="W108">
            <v>3778404</v>
          </cell>
          <cell r="X108">
            <v>0.54200000000000004</v>
          </cell>
          <cell r="Y108">
            <v>0.52300000000000002</v>
          </cell>
          <cell r="Z108">
            <v>2528</v>
          </cell>
          <cell r="AA108">
            <v>620</v>
          </cell>
          <cell r="AB108">
            <v>0.60360000000000003</v>
          </cell>
          <cell r="AC108">
            <v>0.23</v>
          </cell>
          <cell r="AD108">
            <v>0.43</v>
          </cell>
        </row>
        <row r="109">
          <cell r="A109">
            <v>309</v>
          </cell>
          <cell r="B109" t="str">
            <v>309 - Nickerson</v>
          </cell>
          <cell r="C109" t="str">
            <v>Reno</v>
          </cell>
          <cell r="D109">
            <v>60369282</v>
          </cell>
          <cell r="E109">
            <v>53865442</v>
          </cell>
          <cell r="F109">
            <v>62638436</v>
          </cell>
          <cell r="G109">
            <v>56115404</v>
          </cell>
          <cell r="H109">
            <v>1132.7</v>
          </cell>
          <cell r="I109">
            <v>1126.9000000000001</v>
          </cell>
          <cell r="J109">
            <v>187.5</v>
          </cell>
          <cell r="K109">
            <v>8045260</v>
          </cell>
          <cell r="L109">
            <v>42</v>
          </cell>
          <cell r="M109">
            <v>0</v>
          </cell>
          <cell r="N109">
            <v>1049474</v>
          </cell>
          <cell r="O109">
            <v>1089139</v>
          </cell>
          <cell r="P109">
            <v>388537</v>
          </cell>
          <cell r="Q109">
            <v>143186</v>
          </cell>
          <cell r="R109">
            <v>250719</v>
          </cell>
          <cell r="U109">
            <v>280959</v>
          </cell>
          <cell r="V109">
            <v>0</v>
          </cell>
          <cell r="W109">
            <v>1185157</v>
          </cell>
          <cell r="X109">
            <v>0.48499999999999999</v>
          </cell>
          <cell r="Y109">
            <v>0.46400000000000002</v>
          </cell>
          <cell r="Z109">
            <v>552</v>
          </cell>
          <cell r="AA109">
            <v>169</v>
          </cell>
          <cell r="AB109">
            <v>0.4703</v>
          </cell>
          <cell r="AC109">
            <v>0.09</v>
          </cell>
          <cell r="AD109">
            <v>0.28999999999999998</v>
          </cell>
        </row>
        <row r="110">
          <cell r="A110">
            <v>310</v>
          </cell>
          <cell r="B110" t="str">
            <v>310 - Fairfield</v>
          </cell>
          <cell r="C110" t="str">
            <v>Reno</v>
          </cell>
          <cell r="D110">
            <v>32103683</v>
          </cell>
          <cell r="E110">
            <v>29661543</v>
          </cell>
          <cell r="F110">
            <v>32154270</v>
          </cell>
          <cell r="G110">
            <v>29696615</v>
          </cell>
          <cell r="H110">
            <v>304.60000000000002</v>
          </cell>
          <cell r="I110">
            <v>275.2</v>
          </cell>
          <cell r="J110">
            <v>435.5</v>
          </cell>
          <cell r="K110">
            <v>2772042</v>
          </cell>
          <cell r="L110">
            <v>12</v>
          </cell>
          <cell r="M110">
            <v>0</v>
          </cell>
          <cell r="N110">
            <v>301876</v>
          </cell>
          <cell r="O110">
            <v>337211</v>
          </cell>
          <cell r="P110">
            <v>138456</v>
          </cell>
          <cell r="Q110">
            <v>48983</v>
          </cell>
          <cell r="R110">
            <v>85768</v>
          </cell>
          <cell r="U110">
            <v>0</v>
          </cell>
          <cell r="V110">
            <v>0</v>
          </cell>
          <cell r="W110">
            <v>385012</v>
          </cell>
          <cell r="X110">
            <v>0.45300000000000001</v>
          </cell>
          <cell r="Y110">
            <v>0.46</v>
          </cell>
          <cell r="Z110">
            <v>138</v>
          </cell>
          <cell r="AA110">
            <v>69</v>
          </cell>
          <cell r="AB110">
            <v>0</v>
          </cell>
          <cell r="AC110">
            <v>0</v>
          </cell>
          <cell r="AD110">
            <v>0</v>
          </cell>
        </row>
        <row r="111">
          <cell r="A111">
            <v>311</v>
          </cell>
          <cell r="B111" t="str">
            <v>311 - Pretty Prairie</v>
          </cell>
          <cell r="C111" t="str">
            <v>Reno</v>
          </cell>
          <cell r="D111">
            <v>14915067</v>
          </cell>
          <cell r="E111">
            <v>13382769</v>
          </cell>
          <cell r="F111">
            <v>14787869</v>
          </cell>
          <cell r="G111">
            <v>13257690</v>
          </cell>
          <cell r="H111">
            <v>258.39999999999998</v>
          </cell>
          <cell r="I111">
            <v>265</v>
          </cell>
          <cell r="J111">
            <v>208</v>
          </cell>
          <cell r="K111">
            <v>2142515</v>
          </cell>
          <cell r="L111">
            <v>13</v>
          </cell>
          <cell r="M111">
            <v>0</v>
          </cell>
          <cell r="N111">
            <v>222800</v>
          </cell>
          <cell r="O111">
            <v>218912</v>
          </cell>
          <cell r="P111">
            <v>108958</v>
          </cell>
          <cell r="Q111">
            <v>39302</v>
          </cell>
          <cell r="R111">
            <v>68818</v>
          </cell>
          <cell r="U111">
            <v>76557</v>
          </cell>
          <cell r="V111">
            <v>0</v>
          </cell>
          <cell r="W111">
            <v>255358</v>
          </cell>
          <cell r="X111">
            <v>0.27200000000000002</v>
          </cell>
          <cell r="Y111">
            <v>0.22900000000000001</v>
          </cell>
          <cell r="Z111">
            <v>72</v>
          </cell>
          <cell r="AA111">
            <v>37</v>
          </cell>
          <cell r="AB111">
            <v>0.46579999999999999</v>
          </cell>
          <cell r="AC111">
            <v>0.08</v>
          </cell>
          <cell r="AD111">
            <v>0.28000000000000003</v>
          </cell>
        </row>
        <row r="112">
          <cell r="A112">
            <v>312</v>
          </cell>
          <cell r="B112" t="str">
            <v>312 - Haven</v>
          </cell>
          <cell r="C112" t="str">
            <v>Reno</v>
          </cell>
          <cell r="D112">
            <v>54873155</v>
          </cell>
          <cell r="E112">
            <v>49849187</v>
          </cell>
          <cell r="F112">
            <v>57723545</v>
          </cell>
          <cell r="G112">
            <v>52687969</v>
          </cell>
          <cell r="H112">
            <v>971</v>
          </cell>
          <cell r="I112">
            <v>945.9</v>
          </cell>
          <cell r="J112">
            <v>282</v>
          </cell>
          <cell r="K112">
            <v>7010222</v>
          </cell>
          <cell r="L112">
            <v>40</v>
          </cell>
          <cell r="M112">
            <v>0</v>
          </cell>
          <cell r="N112">
            <v>852660</v>
          </cell>
          <cell r="O112">
            <v>858429</v>
          </cell>
          <cell r="P112">
            <v>326350</v>
          </cell>
          <cell r="Q112">
            <v>121643</v>
          </cell>
          <cell r="R112">
            <v>212996</v>
          </cell>
          <cell r="U112">
            <v>240409</v>
          </cell>
          <cell r="V112">
            <v>0</v>
          </cell>
          <cell r="W112">
            <v>984291</v>
          </cell>
          <cell r="X112">
            <v>0.32</v>
          </cell>
          <cell r="Y112">
            <v>0.28599999999999998</v>
          </cell>
          <cell r="Z112">
            <v>313</v>
          </cell>
          <cell r="AA112">
            <v>158</v>
          </cell>
          <cell r="AB112">
            <v>0.46329999999999999</v>
          </cell>
          <cell r="AC112">
            <v>0.08</v>
          </cell>
          <cell r="AD112">
            <v>0.28000000000000003</v>
          </cell>
        </row>
        <row r="113">
          <cell r="A113">
            <v>313</v>
          </cell>
          <cell r="B113" t="str">
            <v>313 - Buhler</v>
          </cell>
          <cell r="C113" t="str">
            <v>Reno</v>
          </cell>
          <cell r="D113">
            <v>120707497</v>
          </cell>
          <cell r="E113">
            <v>110233058</v>
          </cell>
          <cell r="F113">
            <v>126124525</v>
          </cell>
          <cell r="G113">
            <v>115574529</v>
          </cell>
          <cell r="H113">
            <v>2111.3000000000002</v>
          </cell>
          <cell r="I113">
            <v>2120.9</v>
          </cell>
          <cell r="J113">
            <v>137.69999999999999</v>
          </cell>
          <cell r="K113">
            <v>12808636</v>
          </cell>
          <cell r="L113">
            <v>97</v>
          </cell>
          <cell r="M113">
            <v>0</v>
          </cell>
          <cell r="N113">
            <v>2108270</v>
          </cell>
          <cell r="O113">
            <v>2175969</v>
          </cell>
          <cell r="P113">
            <v>598713</v>
          </cell>
          <cell r="Q113">
            <v>220156</v>
          </cell>
          <cell r="R113">
            <v>385492</v>
          </cell>
          <cell r="U113">
            <v>476833</v>
          </cell>
          <cell r="V113">
            <v>0</v>
          </cell>
          <cell r="W113">
            <v>2427444</v>
          </cell>
          <cell r="X113">
            <v>0.26400000000000001</v>
          </cell>
          <cell r="Y113">
            <v>0.25900000000000001</v>
          </cell>
          <cell r="Z113">
            <v>568</v>
          </cell>
          <cell r="AA113">
            <v>270</v>
          </cell>
          <cell r="AB113">
            <v>0.438</v>
          </cell>
          <cell r="AC113">
            <v>0.05</v>
          </cell>
          <cell r="AD113">
            <v>0.25</v>
          </cell>
        </row>
        <row r="114">
          <cell r="A114">
            <v>314</v>
          </cell>
          <cell r="B114" t="str">
            <v>314 - Brewster</v>
          </cell>
          <cell r="C114" t="str">
            <v>Thomas</v>
          </cell>
          <cell r="D114">
            <v>9471640</v>
          </cell>
          <cell r="E114">
            <v>8886949</v>
          </cell>
          <cell r="F114">
            <v>9582246</v>
          </cell>
          <cell r="G114">
            <v>8994566</v>
          </cell>
          <cell r="H114">
            <v>98</v>
          </cell>
          <cell r="I114">
            <v>91.5</v>
          </cell>
          <cell r="J114">
            <v>372.8</v>
          </cell>
          <cell r="K114">
            <v>1022045</v>
          </cell>
          <cell r="L114">
            <v>9</v>
          </cell>
          <cell r="M114">
            <v>0</v>
          </cell>
          <cell r="N114">
            <v>106072</v>
          </cell>
          <cell r="O114">
            <v>111121</v>
          </cell>
          <cell r="P114">
            <v>48543</v>
          </cell>
          <cell r="Q114">
            <v>17815</v>
          </cell>
          <cell r="R114">
            <v>31194</v>
          </cell>
          <cell r="U114">
            <v>0</v>
          </cell>
          <cell r="V114">
            <v>0</v>
          </cell>
          <cell r="W114">
            <v>117129</v>
          </cell>
          <cell r="X114">
            <v>0.439</v>
          </cell>
          <cell r="Y114">
            <v>0.27600000000000002</v>
          </cell>
          <cell r="Z114">
            <v>43</v>
          </cell>
          <cell r="AA114">
            <v>7</v>
          </cell>
          <cell r="AB114">
            <v>0</v>
          </cell>
          <cell r="AC114">
            <v>0</v>
          </cell>
          <cell r="AD114">
            <v>0</v>
          </cell>
        </row>
        <row r="115">
          <cell r="A115">
            <v>315</v>
          </cell>
          <cell r="B115" t="str">
            <v>315 - Colby</v>
          </cell>
          <cell r="C115" t="str">
            <v>Thomas</v>
          </cell>
          <cell r="D115">
            <v>60558814</v>
          </cell>
          <cell r="E115">
            <v>55135281</v>
          </cell>
          <cell r="F115">
            <v>63229109</v>
          </cell>
          <cell r="G115">
            <v>57787760</v>
          </cell>
          <cell r="H115">
            <v>915.5</v>
          </cell>
          <cell r="I115">
            <v>905.4</v>
          </cell>
          <cell r="J115">
            <v>463</v>
          </cell>
          <cell r="K115">
            <v>6351956</v>
          </cell>
          <cell r="L115">
            <v>45</v>
          </cell>
          <cell r="M115">
            <v>0</v>
          </cell>
          <cell r="N115">
            <v>855756</v>
          </cell>
          <cell r="O115">
            <v>864428</v>
          </cell>
          <cell r="P115">
            <v>303784</v>
          </cell>
          <cell r="Q115">
            <v>113025</v>
          </cell>
          <cell r="R115">
            <v>197907</v>
          </cell>
          <cell r="U115">
            <v>201663</v>
          </cell>
          <cell r="V115">
            <v>0</v>
          </cell>
          <cell r="W115">
            <v>1046262</v>
          </cell>
          <cell r="X115">
            <v>0.30299999999999999</v>
          </cell>
          <cell r="Y115">
            <v>0.29699999999999999</v>
          </cell>
          <cell r="Z115">
            <v>277</v>
          </cell>
          <cell r="AA115">
            <v>117</v>
          </cell>
          <cell r="AB115">
            <v>0.3306</v>
          </cell>
          <cell r="AC115">
            <v>0</v>
          </cell>
          <cell r="AD115">
            <v>0.14000000000000001</v>
          </cell>
        </row>
        <row r="116">
          <cell r="A116">
            <v>316</v>
          </cell>
          <cell r="B116" t="str">
            <v>316 - Golden Plains</v>
          </cell>
          <cell r="C116" t="str">
            <v>Thomas</v>
          </cell>
          <cell r="D116">
            <v>8598193</v>
          </cell>
          <cell r="E116">
            <v>7827686</v>
          </cell>
          <cell r="F116">
            <v>9347511</v>
          </cell>
          <cell r="G116">
            <v>8572547</v>
          </cell>
          <cell r="H116">
            <v>202</v>
          </cell>
          <cell r="I116">
            <v>201.6</v>
          </cell>
          <cell r="J116">
            <v>242</v>
          </cell>
          <cell r="K116">
            <v>2003146</v>
          </cell>
          <cell r="L116">
            <v>5</v>
          </cell>
          <cell r="M116">
            <v>0</v>
          </cell>
          <cell r="N116">
            <v>211676</v>
          </cell>
          <cell r="O116">
            <v>255684</v>
          </cell>
          <cell r="P116">
            <v>89082</v>
          </cell>
          <cell r="Q116">
            <v>35332</v>
          </cell>
          <cell r="R116">
            <v>61865</v>
          </cell>
          <cell r="U116">
            <v>37340</v>
          </cell>
          <cell r="V116">
            <v>0</v>
          </cell>
          <cell r="W116">
            <v>341861</v>
          </cell>
          <cell r="X116">
            <v>0.5</v>
          </cell>
          <cell r="Y116">
            <v>0.45500000000000002</v>
          </cell>
          <cell r="Z116">
            <v>102</v>
          </cell>
          <cell r="AA116">
            <v>38</v>
          </cell>
          <cell r="AB116">
            <v>0.5595</v>
          </cell>
          <cell r="AC116">
            <v>0.18</v>
          </cell>
          <cell r="AD116">
            <v>0.38</v>
          </cell>
        </row>
        <row r="117">
          <cell r="A117">
            <v>320</v>
          </cell>
          <cell r="B117" t="str">
            <v>320 - Wamego</v>
          </cell>
          <cell r="C117" t="str">
            <v>Pottawatomie</v>
          </cell>
          <cell r="D117">
            <v>67845745</v>
          </cell>
          <cell r="E117">
            <v>61639599</v>
          </cell>
          <cell r="F117">
            <v>69208497</v>
          </cell>
          <cell r="G117">
            <v>62965580</v>
          </cell>
          <cell r="H117">
            <v>1305.5</v>
          </cell>
          <cell r="I117">
            <v>1349.2</v>
          </cell>
          <cell r="J117">
            <v>193</v>
          </cell>
          <cell r="K117">
            <v>8361401</v>
          </cell>
          <cell r="L117">
            <v>98</v>
          </cell>
          <cell r="M117">
            <v>0</v>
          </cell>
          <cell r="N117">
            <v>1252471</v>
          </cell>
          <cell r="O117">
            <v>1390789</v>
          </cell>
          <cell r="P117">
            <v>373274</v>
          </cell>
          <cell r="Q117">
            <v>138233</v>
          </cell>
          <cell r="R117">
            <v>242046</v>
          </cell>
          <cell r="U117">
            <v>305490</v>
          </cell>
          <cell r="V117">
            <v>0</v>
          </cell>
          <cell r="W117">
            <v>1364892</v>
          </cell>
          <cell r="X117">
            <v>0.224</v>
          </cell>
          <cell r="Y117">
            <v>0.188</v>
          </cell>
          <cell r="Z117">
            <v>302</v>
          </cell>
          <cell r="AA117">
            <v>123</v>
          </cell>
          <cell r="AB117">
            <v>0.50790000000000002</v>
          </cell>
          <cell r="AC117">
            <v>0.13</v>
          </cell>
          <cell r="AD117">
            <v>0.33</v>
          </cell>
        </row>
        <row r="118">
          <cell r="A118">
            <v>321</v>
          </cell>
          <cell r="B118" t="str">
            <v>321 - Kaw Valley</v>
          </cell>
          <cell r="C118" t="str">
            <v>Pottawatomie</v>
          </cell>
          <cell r="D118">
            <v>212793119</v>
          </cell>
          <cell r="E118">
            <v>207411915</v>
          </cell>
          <cell r="F118">
            <v>224129389</v>
          </cell>
          <cell r="G118">
            <v>218707066</v>
          </cell>
          <cell r="H118">
            <v>1110.0999999999999</v>
          </cell>
          <cell r="I118">
            <v>1124.5</v>
          </cell>
          <cell r="J118">
            <v>311</v>
          </cell>
          <cell r="K118">
            <v>7843685</v>
          </cell>
          <cell r="L118">
            <v>33</v>
          </cell>
          <cell r="M118">
            <v>0</v>
          </cell>
          <cell r="N118">
            <v>1106052</v>
          </cell>
          <cell r="O118">
            <v>1226806</v>
          </cell>
          <cell r="P118">
            <v>347735</v>
          </cell>
          <cell r="Q118">
            <v>132378</v>
          </cell>
          <cell r="R118">
            <v>231794</v>
          </cell>
          <cell r="U118">
            <v>0</v>
          </cell>
          <cell r="V118">
            <v>0</v>
          </cell>
          <cell r="W118">
            <v>1389894</v>
          </cell>
          <cell r="X118">
            <v>0.35899999999999999</v>
          </cell>
          <cell r="Y118">
            <v>0.33600000000000002</v>
          </cell>
          <cell r="Z118">
            <v>408</v>
          </cell>
          <cell r="AA118">
            <v>135</v>
          </cell>
          <cell r="AB118">
            <v>0</v>
          </cell>
          <cell r="AC118">
            <v>0</v>
          </cell>
          <cell r="AD118">
            <v>0</v>
          </cell>
        </row>
        <row r="119">
          <cell r="A119">
            <v>322</v>
          </cell>
          <cell r="B119" t="str">
            <v>322 - Onaga</v>
          </cell>
          <cell r="C119" t="str">
            <v>Pottawatomie</v>
          </cell>
          <cell r="D119">
            <v>17535317</v>
          </cell>
          <cell r="E119">
            <v>15594090</v>
          </cell>
          <cell r="F119">
            <v>18030857</v>
          </cell>
          <cell r="G119">
            <v>16095289</v>
          </cell>
          <cell r="H119">
            <v>320.5</v>
          </cell>
          <cell r="I119">
            <v>310</v>
          </cell>
          <cell r="J119">
            <v>256.39999999999998</v>
          </cell>
          <cell r="K119">
            <v>2484247</v>
          </cell>
          <cell r="L119">
            <v>20</v>
          </cell>
          <cell r="M119">
            <v>0</v>
          </cell>
          <cell r="N119">
            <v>239988</v>
          </cell>
          <cell r="O119">
            <v>243925</v>
          </cell>
          <cell r="P119">
            <v>131655</v>
          </cell>
          <cell r="Q119">
            <v>46953</v>
          </cell>
          <cell r="R119">
            <v>82215</v>
          </cell>
          <cell r="U119">
            <v>82242</v>
          </cell>
          <cell r="V119">
            <v>0</v>
          </cell>
          <cell r="W119">
            <v>278544</v>
          </cell>
          <cell r="X119">
            <v>0.28999999999999998</v>
          </cell>
          <cell r="Y119">
            <v>0.27400000000000002</v>
          </cell>
          <cell r="Z119">
            <v>93</v>
          </cell>
          <cell r="AA119">
            <v>47</v>
          </cell>
          <cell r="AB119">
            <v>0.45140000000000002</v>
          </cell>
          <cell r="AC119">
            <v>7.0000000000000007E-2</v>
          </cell>
          <cell r="AD119">
            <v>0.27</v>
          </cell>
        </row>
        <row r="120">
          <cell r="A120">
            <v>323</v>
          </cell>
          <cell r="B120" t="str">
            <v>323 - Westmoreland</v>
          </cell>
          <cell r="C120" t="str">
            <v>Pottawatomie</v>
          </cell>
          <cell r="D120">
            <v>36922919</v>
          </cell>
          <cell r="E120">
            <v>32745179</v>
          </cell>
          <cell r="F120">
            <v>38558535</v>
          </cell>
          <cell r="G120">
            <v>34318736</v>
          </cell>
          <cell r="H120">
            <v>845.1</v>
          </cell>
          <cell r="I120">
            <v>849.6</v>
          </cell>
          <cell r="J120">
            <v>233</v>
          </cell>
          <cell r="K120">
            <v>6368885</v>
          </cell>
          <cell r="L120">
            <v>24</v>
          </cell>
          <cell r="M120">
            <v>0</v>
          </cell>
          <cell r="N120">
            <v>816406</v>
          </cell>
          <cell r="O120">
            <v>920552</v>
          </cell>
          <cell r="P120">
            <v>275052</v>
          </cell>
          <cell r="Q120">
            <v>103675</v>
          </cell>
          <cell r="R120">
            <v>181535</v>
          </cell>
          <cell r="U120">
            <v>156686</v>
          </cell>
          <cell r="V120">
            <v>0</v>
          </cell>
          <cell r="W120">
            <v>889996</v>
          </cell>
          <cell r="X120">
            <v>0.191</v>
          </cell>
          <cell r="Y120">
            <v>0.188</v>
          </cell>
          <cell r="Z120">
            <v>163</v>
          </cell>
          <cell r="AA120">
            <v>109</v>
          </cell>
          <cell r="AB120">
            <v>0.56459999999999999</v>
          </cell>
          <cell r="AC120">
            <v>0.19</v>
          </cell>
          <cell r="AD120">
            <v>0.39</v>
          </cell>
        </row>
        <row r="121">
          <cell r="A121">
            <v>325</v>
          </cell>
          <cell r="B121" t="str">
            <v>325 - Phillipsburg</v>
          </cell>
          <cell r="C121" t="str">
            <v>Phillips</v>
          </cell>
          <cell r="D121">
            <v>26286942</v>
          </cell>
          <cell r="E121">
            <v>23106058</v>
          </cell>
          <cell r="F121">
            <v>27122740</v>
          </cell>
          <cell r="G121">
            <v>23931689</v>
          </cell>
          <cell r="H121">
            <v>628.1</v>
          </cell>
          <cell r="I121">
            <v>613.4</v>
          </cell>
          <cell r="J121">
            <v>353</v>
          </cell>
          <cell r="K121">
            <v>4644479</v>
          </cell>
          <cell r="L121">
            <v>26</v>
          </cell>
          <cell r="M121">
            <v>0</v>
          </cell>
          <cell r="N121">
            <v>670097</v>
          </cell>
          <cell r="O121">
            <v>673154</v>
          </cell>
          <cell r="P121">
            <v>223055</v>
          </cell>
          <cell r="Q121">
            <v>83090</v>
          </cell>
          <cell r="R121">
            <v>145490</v>
          </cell>
          <cell r="U121">
            <v>219463</v>
          </cell>
          <cell r="V121">
            <v>0</v>
          </cell>
          <cell r="W121">
            <v>757039</v>
          </cell>
          <cell r="X121">
            <v>0.32</v>
          </cell>
          <cell r="Y121">
            <v>0.28499999999999998</v>
          </cell>
          <cell r="Z121">
            <v>202</v>
          </cell>
          <cell r="AA121">
            <v>71</v>
          </cell>
          <cell r="AB121">
            <v>0.57579999999999998</v>
          </cell>
          <cell r="AC121">
            <v>0.2</v>
          </cell>
          <cell r="AD121">
            <v>0.4</v>
          </cell>
        </row>
        <row r="122">
          <cell r="A122">
            <v>326</v>
          </cell>
          <cell r="B122" t="str">
            <v>326 - Logan</v>
          </cell>
          <cell r="C122" t="str">
            <v>Phillips</v>
          </cell>
          <cell r="D122">
            <v>13131843</v>
          </cell>
          <cell r="E122">
            <v>12208011</v>
          </cell>
          <cell r="F122">
            <v>17189450</v>
          </cell>
          <cell r="G122">
            <v>16257686</v>
          </cell>
          <cell r="H122">
            <v>181.5</v>
          </cell>
          <cell r="I122">
            <v>175</v>
          </cell>
          <cell r="J122">
            <v>332.1</v>
          </cell>
          <cell r="K122">
            <v>1735823</v>
          </cell>
          <cell r="L122">
            <v>5</v>
          </cell>
          <cell r="M122">
            <v>0</v>
          </cell>
          <cell r="N122">
            <v>173222</v>
          </cell>
          <cell r="O122">
            <v>198478</v>
          </cell>
          <cell r="P122">
            <v>79898</v>
          </cell>
          <cell r="Q122">
            <v>31764</v>
          </cell>
          <cell r="R122">
            <v>55618</v>
          </cell>
          <cell r="U122">
            <v>16839</v>
          </cell>
          <cell r="V122">
            <v>0</v>
          </cell>
          <cell r="W122">
            <v>216525</v>
          </cell>
          <cell r="X122">
            <v>0.433</v>
          </cell>
          <cell r="Y122">
            <v>0.43099999999999999</v>
          </cell>
          <cell r="Z122">
            <v>79</v>
          </cell>
          <cell r="AA122">
            <v>21</v>
          </cell>
          <cell r="AB122">
            <v>6.3799999999999996E-2</v>
          </cell>
          <cell r="AC122">
            <v>0</v>
          </cell>
          <cell r="AD122">
            <v>0</v>
          </cell>
        </row>
        <row r="123">
          <cell r="A123">
            <v>327</v>
          </cell>
          <cell r="B123" t="str">
            <v>327 - Ellsworth</v>
          </cell>
          <cell r="C123" t="str">
            <v>Ellsworth</v>
          </cell>
          <cell r="D123">
            <v>33220123</v>
          </cell>
          <cell r="E123">
            <v>29197134</v>
          </cell>
          <cell r="F123">
            <v>33527238</v>
          </cell>
          <cell r="G123">
            <v>29476455</v>
          </cell>
          <cell r="H123">
            <v>622</v>
          </cell>
          <cell r="I123">
            <v>614.5</v>
          </cell>
          <cell r="J123">
            <v>425.3</v>
          </cell>
          <cell r="K123">
            <v>4590148</v>
          </cell>
          <cell r="L123">
            <v>29</v>
          </cell>
          <cell r="M123">
            <v>0</v>
          </cell>
          <cell r="N123">
            <v>475392</v>
          </cell>
          <cell r="O123">
            <v>515133</v>
          </cell>
          <cell r="P123">
            <v>230293</v>
          </cell>
          <cell r="Q123">
            <v>84918</v>
          </cell>
          <cell r="R123">
            <v>148691</v>
          </cell>
          <cell r="U123">
            <v>174528</v>
          </cell>
          <cell r="V123">
            <v>0</v>
          </cell>
          <cell r="W123">
            <v>519523</v>
          </cell>
          <cell r="X123">
            <v>0.35199999999999998</v>
          </cell>
          <cell r="Y123">
            <v>0.32200000000000001</v>
          </cell>
          <cell r="Z123">
            <v>220</v>
          </cell>
          <cell r="AA123">
            <v>88</v>
          </cell>
          <cell r="AB123">
            <v>0.47870000000000001</v>
          </cell>
          <cell r="AC123">
            <v>0.1</v>
          </cell>
          <cell r="AD123">
            <v>0.3</v>
          </cell>
        </row>
        <row r="124">
          <cell r="A124">
            <v>329</v>
          </cell>
          <cell r="B124" t="str">
            <v>329 - Alma</v>
          </cell>
          <cell r="C124" t="str">
            <v>Wabaunsee</v>
          </cell>
          <cell r="D124">
            <v>33537794</v>
          </cell>
          <cell r="E124">
            <v>30272885</v>
          </cell>
          <cell r="F124">
            <v>34353551</v>
          </cell>
          <cell r="G124">
            <v>31080890</v>
          </cell>
          <cell r="H124">
            <v>470</v>
          </cell>
          <cell r="I124">
            <v>457.1</v>
          </cell>
          <cell r="J124">
            <v>397</v>
          </cell>
          <cell r="K124">
            <v>3657867</v>
          </cell>
          <cell r="L124">
            <v>31</v>
          </cell>
          <cell r="M124">
            <v>0</v>
          </cell>
          <cell r="N124">
            <v>483891</v>
          </cell>
          <cell r="O124">
            <v>528246</v>
          </cell>
          <cell r="P124">
            <v>178427</v>
          </cell>
          <cell r="Q124">
            <v>64293</v>
          </cell>
          <cell r="R124">
            <v>112576</v>
          </cell>
          <cell r="U124">
            <v>79954</v>
          </cell>
          <cell r="V124">
            <v>0</v>
          </cell>
          <cell r="W124">
            <v>536962</v>
          </cell>
          <cell r="X124">
            <v>0.19600000000000001</v>
          </cell>
          <cell r="Y124">
            <v>0.186</v>
          </cell>
          <cell r="Z124">
            <v>92</v>
          </cell>
          <cell r="AA124">
            <v>99</v>
          </cell>
          <cell r="AB124">
            <v>0.29780000000000001</v>
          </cell>
          <cell r="AC124">
            <v>0</v>
          </cell>
          <cell r="AD124">
            <v>0.11</v>
          </cell>
        </row>
        <row r="125">
          <cell r="A125">
            <v>330</v>
          </cell>
          <cell r="B125" t="str">
            <v>330 - Wabaunsee East</v>
          </cell>
          <cell r="C125" t="str">
            <v>Wabaunsee</v>
          </cell>
          <cell r="D125">
            <v>31334930</v>
          </cell>
          <cell r="E125">
            <v>27839045</v>
          </cell>
          <cell r="F125">
            <v>31942432</v>
          </cell>
          <cell r="G125">
            <v>28437788</v>
          </cell>
          <cell r="H125">
            <v>500.5</v>
          </cell>
          <cell r="I125">
            <v>484.7</v>
          </cell>
          <cell r="J125">
            <v>370</v>
          </cell>
          <cell r="K125">
            <v>4119283</v>
          </cell>
          <cell r="L125">
            <v>54</v>
          </cell>
          <cell r="M125">
            <v>0</v>
          </cell>
          <cell r="N125">
            <v>601359</v>
          </cell>
          <cell r="O125">
            <v>673801</v>
          </cell>
          <cell r="P125">
            <v>186145</v>
          </cell>
          <cell r="Q125">
            <v>72370</v>
          </cell>
          <cell r="R125">
            <v>126720</v>
          </cell>
          <cell r="U125">
            <v>90228</v>
          </cell>
          <cell r="V125">
            <v>0</v>
          </cell>
          <cell r="W125">
            <v>659639</v>
          </cell>
          <cell r="X125">
            <v>0.246</v>
          </cell>
          <cell r="Y125">
            <v>0.28799999999999998</v>
          </cell>
          <cell r="Z125">
            <v>123</v>
          </cell>
          <cell r="AA125">
            <v>68</v>
          </cell>
          <cell r="AB125">
            <v>0.37690000000000001</v>
          </cell>
          <cell r="AC125">
            <v>0</v>
          </cell>
          <cell r="AD125">
            <v>0.19</v>
          </cell>
        </row>
        <row r="126">
          <cell r="A126">
            <v>331</v>
          </cell>
          <cell r="B126" t="str">
            <v>331 - Kingman</v>
          </cell>
          <cell r="C126" t="str">
            <v>Kingman</v>
          </cell>
          <cell r="D126">
            <v>72114874</v>
          </cell>
          <cell r="E126">
            <v>65999543</v>
          </cell>
          <cell r="F126">
            <v>70285950</v>
          </cell>
          <cell r="G126">
            <v>64142889</v>
          </cell>
          <cell r="H126">
            <v>988.7</v>
          </cell>
          <cell r="I126">
            <v>1005.7</v>
          </cell>
          <cell r="J126">
            <v>565.5</v>
          </cell>
          <cell r="K126">
            <v>7166127</v>
          </cell>
          <cell r="L126">
            <v>65</v>
          </cell>
          <cell r="M126">
            <v>0</v>
          </cell>
          <cell r="N126">
            <v>1090124</v>
          </cell>
          <cell r="O126">
            <v>1165423</v>
          </cell>
          <cell r="P126">
            <v>333916</v>
          </cell>
          <cell r="Q126">
            <v>123286</v>
          </cell>
          <cell r="R126">
            <v>215873</v>
          </cell>
          <cell r="U126">
            <v>189367</v>
          </cell>
          <cell r="V126">
            <v>0</v>
          </cell>
          <cell r="W126">
            <v>1192582</v>
          </cell>
          <cell r="X126">
            <v>0.36399999999999999</v>
          </cell>
          <cell r="Y126">
            <v>0.318</v>
          </cell>
          <cell r="Z126">
            <v>367</v>
          </cell>
          <cell r="AA126">
            <v>149</v>
          </cell>
          <cell r="AB126">
            <v>0.34399999999999997</v>
          </cell>
          <cell r="AC126">
            <v>0</v>
          </cell>
          <cell r="AD126">
            <v>0.16</v>
          </cell>
        </row>
        <row r="127">
          <cell r="A127">
            <v>332</v>
          </cell>
          <cell r="B127" t="str">
            <v>332 - Cunningham</v>
          </cell>
          <cell r="C127" t="str">
            <v>Kingman</v>
          </cell>
          <cell r="D127">
            <v>62495297</v>
          </cell>
          <cell r="E127">
            <v>61055462</v>
          </cell>
          <cell r="F127">
            <v>61341131</v>
          </cell>
          <cell r="G127">
            <v>59897667</v>
          </cell>
          <cell r="H127">
            <v>170.6</v>
          </cell>
          <cell r="I127">
            <v>166</v>
          </cell>
          <cell r="J127">
            <v>323.5</v>
          </cell>
          <cell r="K127">
            <v>1672044</v>
          </cell>
          <cell r="L127">
            <v>15</v>
          </cell>
          <cell r="M127">
            <v>0</v>
          </cell>
          <cell r="N127">
            <v>286032</v>
          </cell>
          <cell r="O127">
            <v>197408</v>
          </cell>
          <cell r="P127">
            <v>82325</v>
          </cell>
          <cell r="Q127">
            <v>29855</v>
          </cell>
          <cell r="R127">
            <v>52276</v>
          </cell>
          <cell r="U127">
            <v>0</v>
          </cell>
          <cell r="V127">
            <v>0</v>
          </cell>
          <cell r="W127">
            <v>242816</v>
          </cell>
          <cell r="X127">
            <v>0.40400000000000003</v>
          </cell>
          <cell r="Y127">
            <v>0.28499999999999998</v>
          </cell>
          <cell r="Z127">
            <v>69</v>
          </cell>
          <cell r="AA127">
            <v>19</v>
          </cell>
          <cell r="AB127">
            <v>0</v>
          </cell>
          <cell r="AC127">
            <v>0</v>
          </cell>
          <cell r="AD127">
            <v>0</v>
          </cell>
        </row>
        <row r="128">
          <cell r="A128">
            <v>333</v>
          </cell>
          <cell r="B128" t="str">
            <v>333 - Concordia</v>
          </cell>
          <cell r="C128" t="str">
            <v>Cloud</v>
          </cell>
          <cell r="D128">
            <v>46227109</v>
          </cell>
          <cell r="E128">
            <v>40093389</v>
          </cell>
          <cell r="F128">
            <v>48477605</v>
          </cell>
          <cell r="G128">
            <v>42336632</v>
          </cell>
          <cell r="H128">
            <v>1061.2</v>
          </cell>
          <cell r="I128">
            <v>1053.7</v>
          </cell>
          <cell r="J128">
            <v>336</v>
          </cell>
          <cell r="K128">
            <v>7407466</v>
          </cell>
          <cell r="L128">
            <v>41</v>
          </cell>
          <cell r="M128">
            <v>0</v>
          </cell>
          <cell r="N128">
            <v>1045633</v>
          </cell>
          <cell r="O128">
            <v>1071752</v>
          </cell>
          <cell r="P128">
            <v>353158</v>
          </cell>
          <cell r="Q128">
            <v>130164</v>
          </cell>
          <cell r="R128">
            <v>227916</v>
          </cell>
          <cell r="U128">
            <v>264869</v>
          </cell>
          <cell r="V128">
            <v>0</v>
          </cell>
          <cell r="W128">
            <v>1174790</v>
          </cell>
          <cell r="X128">
            <v>0.4</v>
          </cell>
          <cell r="Y128">
            <v>0.41799999999999998</v>
          </cell>
          <cell r="Z128">
            <v>428</v>
          </cell>
          <cell r="AA128">
            <v>205</v>
          </cell>
          <cell r="AB128">
            <v>0.56169999999999998</v>
          </cell>
          <cell r="AC128">
            <v>0.18</v>
          </cell>
          <cell r="AD128">
            <v>0.38</v>
          </cell>
        </row>
        <row r="129">
          <cell r="A129">
            <v>334</v>
          </cell>
          <cell r="B129" t="str">
            <v>334 - Southern Cloud</v>
          </cell>
          <cell r="C129" t="str">
            <v>Cloud</v>
          </cell>
          <cell r="D129">
            <v>18118162</v>
          </cell>
          <cell r="E129">
            <v>16649126</v>
          </cell>
          <cell r="F129">
            <v>19052231</v>
          </cell>
          <cell r="G129">
            <v>17568507</v>
          </cell>
          <cell r="H129">
            <v>255.6</v>
          </cell>
          <cell r="I129">
            <v>250</v>
          </cell>
          <cell r="J129">
            <v>273</v>
          </cell>
          <cell r="K129">
            <v>2254720</v>
          </cell>
          <cell r="L129">
            <v>13</v>
          </cell>
          <cell r="M129">
            <v>0</v>
          </cell>
          <cell r="N129">
            <v>294498</v>
          </cell>
          <cell r="O129">
            <v>326006</v>
          </cell>
          <cell r="P129">
            <v>102289</v>
          </cell>
          <cell r="Q129">
            <v>40059</v>
          </cell>
          <cell r="R129">
            <v>70143</v>
          </cell>
          <cell r="U129">
            <v>32920</v>
          </cell>
          <cell r="V129">
            <v>0</v>
          </cell>
          <cell r="W129">
            <v>322301</v>
          </cell>
          <cell r="X129">
            <v>0.45400000000000001</v>
          </cell>
          <cell r="Y129">
            <v>0.48499999999999999</v>
          </cell>
          <cell r="Z129">
            <v>116</v>
          </cell>
          <cell r="AA129">
            <v>39</v>
          </cell>
          <cell r="AB129">
            <v>0.26879999999999998</v>
          </cell>
          <cell r="AC129">
            <v>0</v>
          </cell>
          <cell r="AD129">
            <v>0.08</v>
          </cell>
        </row>
        <row r="130">
          <cell r="A130">
            <v>335</v>
          </cell>
          <cell r="B130" t="str">
            <v>335 - North Jackson</v>
          </cell>
          <cell r="C130" t="str">
            <v>Jackson</v>
          </cell>
          <cell r="D130">
            <v>14573504</v>
          </cell>
          <cell r="E130">
            <v>12757246</v>
          </cell>
          <cell r="F130">
            <v>14934265</v>
          </cell>
          <cell r="G130">
            <v>13109369</v>
          </cell>
          <cell r="H130">
            <v>376.5</v>
          </cell>
          <cell r="I130">
            <v>391</v>
          </cell>
          <cell r="J130">
            <v>213</v>
          </cell>
          <cell r="K130">
            <v>3121647</v>
          </cell>
          <cell r="L130">
            <v>24</v>
          </cell>
          <cell r="M130">
            <v>0</v>
          </cell>
          <cell r="N130">
            <v>247514</v>
          </cell>
          <cell r="O130">
            <v>255853</v>
          </cell>
          <cell r="P130">
            <v>149651</v>
          </cell>
          <cell r="Q130">
            <v>56746</v>
          </cell>
          <cell r="R130">
            <v>99363</v>
          </cell>
          <cell r="U130">
            <v>117690</v>
          </cell>
          <cell r="V130">
            <v>0</v>
          </cell>
          <cell r="W130">
            <v>300689</v>
          </cell>
          <cell r="X130">
            <v>0.32700000000000001</v>
          </cell>
          <cell r="Y130">
            <v>0.29099999999999998</v>
          </cell>
          <cell r="Z130">
            <v>128</v>
          </cell>
          <cell r="AA130">
            <v>42</v>
          </cell>
          <cell r="AB130">
            <v>0.63490000000000002</v>
          </cell>
          <cell r="AC130">
            <v>0.26</v>
          </cell>
          <cell r="AD130">
            <v>0.46</v>
          </cell>
        </row>
        <row r="131">
          <cell r="A131">
            <v>336</v>
          </cell>
          <cell r="B131" t="str">
            <v>336 - Holton</v>
          </cell>
          <cell r="C131" t="str">
            <v>Jackson</v>
          </cell>
          <cell r="D131">
            <v>40736222</v>
          </cell>
          <cell r="E131">
            <v>35504326</v>
          </cell>
          <cell r="F131">
            <v>40567995</v>
          </cell>
          <cell r="G131">
            <v>35335567</v>
          </cell>
          <cell r="H131">
            <v>1058</v>
          </cell>
          <cell r="I131">
            <v>1073</v>
          </cell>
          <cell r="J131">
            <v>164.5</v>
          </cell>
          <cell r="K131">
            <v>7050380</v>
          </cell>
          <cell r="L131">
            <v>46</v>
          </cell>
          <cell r="M131">
            <v>0</v>
          </cell>
          <cell r="N131">
            <v>861810</v>
          </cell>
          <cell r="O131">
            <v>895336</v>
          </cell>
          <cell r="P131">
            <v>334200</v>
          </cell>
          <cell r="Q131">
            <v>123205</v>
          </cell>
          <cell r="R131">
            <v>215732</v>
          </cell>
          <cell r="U131">
            <v>338822</v>
          </cell>
          <cell r="V131">
            <v>0</v>
          </cell>
          <cell r="W131">
            <v>991198</v>
          </cell>
          <cell r="X131">
            <v>0.30299999999999999</v>
          </cell>
          <cell r="Y131">
            <v>0.255</v>
          </cell>
          <cell r="Z131">
            <v>325</v>
          </cell>
          <cell r="AA131">
            <v>84</v>
          </cell>
          <cell r="AB131">
            <v>0.64019999999999999</v>
          </cell>
          <cell r="AC131">
            <v>0.26</v>
          </cell>
          <cell r="AD131">
            <v>0.46</v>
          </cell>
        </row>
        <row r="132">
          <cell r="A132">
            <v>337</v>
          </cell>
          <cell r="B132" t="str">
            <v>337 - Mayetta</v>
          </cell>
          <cell r="C132" t="str">
            <v>Jackson</v>
          </cell>
          <cell r="D132">
            <v>25447415</v>
          </cell>
          <cell r="E132">
            <v>22057020</v>
          </cell>
          <cell r="F132">
            <v>25401091</v>
          </cell>
          <cell r="G132">
            <v>22005644</v>
          </cell>
          <cell r="H132">
            <v>908.2</v>
          </cell>
          <cell r="I132">
            <v>912.1</v>
          </cell>
          <cell r="J132">
            <v>169</v>
          </cell>
          <cell r="K132">
            <v>6606124</v>
          </cell>
          <cell r="L132">
            <v>57</v>
          </cell>
          <cell r="M132">
            <v>0</v>
          </cell>
          <cell r="N132">
            <v>824097</v>
          </cell>
          <cell r="O132">
            <v>834939</v>
          </cell>
          <cell r="P132">
            <v>321889</v>
          </cell>
          <cell r="Q132">
            <v>119154</v>
          </cell>
          <cell r="R132">
            <v>208639</v>
          </cell>
          <cell r="U132">
            <v>373830</v>
          </cell>
          <cell r="V132">
            <v>0</v>
          </cell>
          <cell r="W132">
            <v>943887</v>
          </cell>
          <cell r="X132">
            <v>0.34499999999999997</v>
          </cell>
          <cell r="Y132">
            <v>0.32400000000000001</v>
          </cell>
          <cell r="Z132">
            <v>315</v>
          </cell>
          <cell r="AA132">
            <v>125</v>
          </cell>
          <cell r="AB132">
            <v>0.73360000000000003</v>
          </cell>
          <cell r="AC132">
            <v>0.36</v>
          </cell>
          <cell r="AD132">
            <v>0.56000000000000005</v>
          </cell>
        </row>
        <row r="133">
          <cell r="A133">
            <v>338</v>
          </cell>
          <cell r="B133" t="str">
            <v>338 - Valley Falls</v>
          </cell>
          <cell r="C133" t="str">
            <v>Jefferson</v>
          </cell>
          <cell r="D133">
            <v>14750534</v>
          </cell>
          <cell r="E133">
            <v>12734615</v>
          </cell>
          <cell r="F133">
            <v>14927890</v>
          </cell>
          <cell r="G133">
            <v>12924605</v>
          </cell>
          <cell r="H133">
            <v>408.3</v>
          </cell>
          <cell r="I133">
            <v>392.5</v>
          </cell>
          <cell r="J133">
            <v>115</v>
          </cell>
          <cell r="K133">
            <v>3197631</v>
          </cell>
          <cell r="L133">
            <v>12</v>
          </cell>
          <cell r="M133">
            <v>0</v>
          </cell>
          <cell r="N133">
            <v>393013</v>
          </cell>
          <cell r="O133">
            <v>403601</v>
          </cell>
          <cell r="P133">
            <v>151313</v>
          </cell>
          <cell r="Q133">
            <v>56368</v>
          </cell>
          <cell r="R133">
            <v>98700</v>
          </cell>
          <cell r="U133">
            <v>149735</v>
          </cell>
          <cell r="V133">
            <v>0</v>
          </cell>
          <cell r="W133">
            <v>430778</v>
          </cell>
          <cell r="X133">
            <v>0.30199999999999999</v>
          </cell>
          <cell r="Y133">
            <v>0.28000000000000003</v>
          </cell>
          <cell r="Z133">
            <v>125</v>
          </cell>
          <cell r="AA133">
            <v>64</v>
          </cell>
          <cell r="AB133">
            <v>0.64059999999999995</v>
          </cell>
          <cell r="AC133">
            <v>0.26</v>
          </cell>
          <cell r="AD133">
            <v>0.46</v>
          </cell>
        </row>
        <row r="134">
          <cell r="A134">
            <v>339</v>
          </cell>
          <cell r="B134" t="str">
            <v>339 - Jefferson County</v>
          </cell>
          <cell r="C134" t="str">
            <v>Jefferson</v>
          </cell>
          <cell r="D134">
            <v>15221947</v>
          </cell>
          <cell r="E134">
            <v>13177183</v>
          </cell>
          <cell r="F134">
            <v>15231339</v>
          </cell>
          <cell r="G134">
            <v>13211899</v>
          </cell>
          <cell r="H134">
            <v>479</v>
          </cell>
          <cell r="I134">
            <v>474</v>
          </cell>
          <cell r="J134">
            <v>114</v>
          </cell>
          <cell r="K134">
            <v>3631482</v>
          </cell>
          <cell r="L134">
            <v>23</v>
          </cell>
          <cell r="M134">
            <v>0</v>
          </cell>
          <cell r="N134">
            <v>443715</v>
          </cell>
          <cell r="O134">
            <v>486362</v>
          </cell>
          <cell r="P134">
            <v>178120</v>
          </cell>
          <cell r="Q134">
            <v>65509</v>
          </cell>
          <cell r="R134">
            <v>114706</v>
          </cell>
          <cell r="U134">
            <v>197705</v>
          </cell>
          <cell r="V134">
            <v>0</v>
          </cell>
          <cell r="W134">
            <v>513194</v>
          </cell>
          <cell r="X134">
            <v>0.23799999999999999</v>
          </cell>
          <cell r="Y134">
            <v>0.24299999999999999</v>
          </cell>
          <cell r="Z134">
            <v>115</v>
          </cell>
          <cell r="AA134">
            <v>55</v>
          </cell>
          <cell r="AB134">
            <v>0.69399999999999995</v>
          </cell>
          <cell r="AC134">
            <v>0.32</v>
          </cell>
          <cell r="AD134">
            <v>0.52</v>
          </cell>
        </row>
        <row r="135">
          <cell r="A135">
            <v>340</v>
          </cell>
          <cell r="B135" t="str">
            <v>340 - Jefferson West</v>
          </cell>
          <cell r="C135" t="str">
            <v>Jefferson</v>
          </cell>
          <cell r="D135">
            <v>37654994</v>
          </cell>
          <cell r="E135">
            <v>33335268</v>
          </cell>
          <cell r="F135">
            <v>37854678</v>
          </cell>
          <cell r="G135">
            <v>33571906</v>
          </cell>
          <cell r="H135">
            <v>893.8</v>
          </cell>
          <cell r="I135">
            <v>862</v>
          </cell>
          <cell r="J135">
            <v>68</v>
          </cell>
          <cell r="K135">
            <v>6101327</v>
          </cell>
          <cell r="L135">
            <v>66</v>
          </cell>
          <cell r="M135">
            <v>0</v>
          </cell>
          <cell r="N135">
            <v>871767</v>
          </cell>
          <cell r="O135">
            <v>879980</v>
          </cell>
          <cell r="P135">
            <v>296000</v>
          </cell>
          <cell r="Q135">
            <v>108749</v>
          </cell>
          <cell r="R135">
            <v>190419</v>
          </cell>
          <cell r="U135">
            <v>272282</v>
          </cell>
          <cell r="V135">
            <v>0</v>
          </cell>
          <cell r="W135">
            <v>949082</v>
          </cell>
          <cell r="X135">
            <v>0.17899999999999999</v>
          </cell>
          <cell r="Y135">
            <v>0.16400000000000001</v>
          </cell>
          <cell r="Z135">
            <v>160</v>
          </cell>
          <cell r="AA135">
            <v>103</v>
          </cell>
          <cell r="AB135">
            <v>0.57869999999999999</v>
          </cell>
          <cell r="AC135">
            <v>0.2</v>
          </cell>
          <cell r="AD135">
            <v>0.4</v>
          </cell>
        </row>
        <row r="136">
          <cell r="A136">
            <v>341</v>
          </cell>
          <cell r="B136" t="str">
            <v>341 - Oskaloosa</v>
          </cell>
          <cell r="C136" t="str">
            <v>Jefferson</v>
          </cell>
          <cell r="D136">
            <v>25535454</v>
          </cell>
          <cell r="E136">
            <v>22069789</v>
          </cell>
          <cell r="F136">
            <v>25813227</v>
          </cell>
          <cell r="G136">
            <v>22392625</v>
          </cell>
          <cell r="H136">
            <v>529.1</v>
          </cell>
          <cell r="I136">
            <v>500.1</v>
          </cell>
          <cell r="J136">
            <v>97</v>
          </cell>
          <cell r="K136">
            <v>4597629</v>
          </cell>
          <cell r="L136">
            <v>37</v>
          </cell>
          <cell r="M136">
            <v>0</v>
          </cell>
          <cell r="N136">
            <v>691578</v>
          </cell>
          <cell r="O136">
            <v>771916</v>
          </cell>
          <cell r="P136">
            <v>203048</v>
          </cell>
          <cell r="Q136">
            <v>79079</v>
          </cell>
          <cell r="R136">
            <v>138467</v>
          </cell>
          <cell r="U136">
            <v>171043</v>
          </cell>
          <cell r="V136">
            <v>0</v>
          </cell>
          <cell r="W136">
            <v>778649</v>
          </cell>
          <cell r="X136">
            <v>0.48199999999999998</v>
          </cell>
          <cell r="Y136">
            <v>0.505</v>
          </cell>
          <cell r="Z136">
            <v>261</v>
          </cell>
          <cell r="AA136">
            <v>70</v>
          </cell>
          <cell r="AB136">
            <v>0.51639999999999997</v>
          </cell>
          <cell r="AC136">
            <v>0.14000000000000001</v>
          </cell>
          <cell r="AD136">
            <v>0.34</v>
          </cell>
        </row>
        <row r="137">
          <cell r="A137">
            <v>342</v>
          </cell>
          <cell r="B137" t="str">
            <v>342 - McLouth</v>
          </cell>
          <cell r="C137" t="str">
            <v>Jefferson</v>
          </cell>
          <cell r="D137">
            <v>28664944</v>
          </cell>
          <cell r="E137">
            <v>25568854</v>
          </cell>
          <cell r="F137">
            <v>30207329</v>
          </cell>
          <cell r="G137">
            <v>27154463</v>
          </cell>
          <cell r="H137">
            <v>480</v>
          </cell>
          <cell r="I137">
            <v>477.6</v>
          </cell>
          <cell r="J137">
            <v>90</v>
          </cell>
          <cell r="K137">
            <v>3808678</v>
          </cell>
          <cell r="L137">
            <v>39</v>
          </cell>
          <cell r="M137">
            <v>0</v>
          </cell>
          <cell r="N137">
            <v>569033</v>
          </cell>
          <cell r="O137">
            <v>498830</v>
          </cell>
          <cell r="P137">
            <v>189862</v>
          </cell>
          <cell r="Q137">
            <v>68545</v>
          </cell>
          <cell r="R137">
            <v>120022</v>
          </cell>
          <cell r="U137">
            <v>125231</v>
          </cell>
          <cell r="V137">
            <v>0</v>
          </cell>
          <cell r="W137">
            <v>653028</v>
          </cell>
          <cell r="X137">
            <v>0.32</v>
          </cell>
          <cell r="Y137">
            <v>0.25600000000000001</v>
          </cell>
          <cell r="Z137">
            <v>160</v>
          </cell>
          <cell r="AA137">
            <v>53</v>
          </cell>
          <cell r="AB137">
            <v>0.40810000000000002</v>
          </cell>
          <cell r="AC137">
            <v>0.02</v>
          </cell>
          <cell r="AD137">
            <v>0.22</v>
          </cell>
        </row>
        <row r="138">
          <cell r="A138">
            <v>343</v>
          </cell>
          <cell r="B138" t="str">
            <v>343 - Perry</v>
          </cell>
          <cell r="C138" t="str">
            <v>Jefferson</v>
          </cell>
          <cell r="D138">
            <v>54667983</v>
          </cell>
          <cell r="E138">
            <v>49838033</v>
          </cell>
          <cell r="F138">
            <v>55416156</v>
          </cell>
          <cell r="G138">
            <v>50631367</v>
          </cell>
          <cell r="H138">
            <v>948</v>
          </cell>
          <cell r="I138">
            <v>927.6</v>
          </cell>
          <cell r="J138">
            <v>153.1</v>
          </cell>
          <cell r="K138">
            <v>6683845</v>
          </cell>
          <cell r="L138">
            <v>62</v>
          </cell>
          <cell r="M138">
            <v>0</v>
          </cell>
          <cell r="N138">
            <v>870064</v>
          </cell>
          <cell r="O138">
            <v>966867</v>
          </cell>
          <cell r="P138">
            <v>306430</v>
          </cell>
          <cell r="Q138">
            <v>117568</v>
          </cell>
          <cell r="R138">
            <v>205861</v>
          </cell>
          <cell r="U138">
            <v>216793</v>
          </cell>
          <cell r="V138">
            <v>0</v>
          </cell>
          <cell r="W138">
            <v>979752</v>
          </cell>
          <cell r="X138">
            <v>0.28199999999999997</v>
          </cell>
          <cell r="Y138">
            <v>0.26900000000000002</v>
          </cell>
          <cell r="Z138">
            <v>269</v>
          </cell>
          <cell r="AA138">
            <v>77</v>
          </cell>
          <cell r="AB138">
            <v>0.43080000000000002</v>
          </cell>
          <cell r="AC138">
            <v>0.05</v>
          </cell>
          <cell r="AD138">
            <v>0.25</v>
          </cell>
        </row>
        <row r="139">
          <cell r="A139">
            <v>344</v>
          </cell>
          <cell r="B139" t="str">
            <v>344 - Pleasanton</v>
          </cell>
          <cell r="C139" t="str">
            <v>Linn</v>
          </cell>
          <cell r="D139">
            <v>13661932</v>
          </cell>
          <cell r="E139">
            <v>11656747</v>
          </cell>
          <cell r="F139">
            <v>12986409</v>
          </cell>
          <cell r="G139">
            <v>10986801</v>
          </cell>
          <cell r="H139">
            <v>315.5</v>
          </cell>
          <cell r="I139">
            <v>317.7</v>
          </cell>
          <cell r="J139">
            <v>92.5</v>
          </cell>
          <cell r="K139">
            <v>2667711</v>
          </cell>
          <cell r="L139">
            <v>15</v>
          </cell>
          <cell r="M139">
            <v>0</v>
          </cell>
          <cell r="N139">
            <v>146612</v>
          </cell>
          <cell r="O139">
            <v>219974</v>
          </cell>
          <cell r="P139">
            <v>143856</v>
          </cell>
          <cell r="Q139">
            <v>51495</v>
          </cell>
          <cell r="R139">
            <v>90168</v>
          </cell>
          <cell r="U139">
            <v>95071</v>
          </cell>
          <cell r="V139">
            <v>0</v>
          </cell>
          <cell r="W139">
            <v>215399</v>
          </cell>
          <cell r="X139">
            <v>0.57199999999999995</v>
          </cell>
          <cell r="Y139">
            <v>0.46600000000000003</v>
          </cell>
          <cell r="Z139">
            <v>191</v>
          </cell>
          <cell r="AA139">
            <v>39</v>
          </cell>
          <cell r="AB139">
            <v>0.6139</v>
          </cell>
          <cell r="AC139">
            <v>0.24</v>
          </cell>
          <cell r="AD139">
            <v>0.44</v>
          </cell>
        </row>
        <row r="140">
          <cell r="A140">
            <v>345</v>
          </cell>
          <cell r="B140" t="str">
            <v>345 - Seaman</v>
          </cell>
          <cell r="C140" t="str">
            <v>Shawnee</v>
          </cell>
          <cell r="D140">
            <v>217499325</v>
          </cell>
          <cell r="E140">
            <v>200747536</v>
          </cell>
          <cell r="F140">
            <v>215254330</v>
          </cell>
          <cell r="G140">
            <v>198430107</v>
          </cell>
          <cell r="H140">
            <v>3527</v>
          </cell>
          <cell r="I140">
            <v>3575.6</v>
          </cell>
          <cell r="J140">
            <v>84</v>
          </cell>
          <cell r="K140">
            <v>20973580</v>
          </cell>
          <cell r="L140">
            <v>231</v>
          </cell>
          <cell r="M140">
            <v>0</v>
          </cell>
          <cell r="N140">
            <v>3076273</v>
          </cell>
          <cell r="O140">
            <v>3224426</v>
          </cell>
          <cell r="P140">
            <v>936565</v>
          </cell>
          <cell r="Q140">
            <v>359726</v>
          </cell>
          <cell r="R140">
            <v>629879</v>
          </cell>
          <cell r="U140">
            <v>662515</v>
          </cell>
          <cell r="V140">
            <v>0</v>
          </cell>
          <cell r="W140">
            <v>3447701</v>
          </cell>
          <cell r="X140">
            <v>0.252</v>
          </cell>
          <cell r="Y140">
            <v>0.22500000000000001</v>
          </cell>
          <cell r="Z140">
            <v>904</v>
          </cell>
          <cell r="AA140">
            <v>337</v>
          </cell>
          <cell r="AB140">
            <v>0.42720000000000002</v>
          </cell>
          <cell r="AC140">
            <v>0.04</v>
          </cell>
          <cell r="AD140">
            <v>0.24</v>
          </cell>
        </row>
        <row r="141">
          <cell r="A141">
            <v>346</v>
          </cell>
          <cell r="B141" t="str">
            <v>346 - Jayhawk</v>
          </cell>
          <cell r="C141" t="str">
            <v>Linn</v>
          </cell>
          <cell r="D141">
            <v>29034465</v>
          </cell>
          <cell r="E141">
            <v>25013480</v>
          </cell>
          <cell r="F141">
            <v>29682441</v>
          </cell>
          <cell r="G141">
            <v>25647345</v>
          </cell>
          <cell r="H141">
            <v>514.6</v>
          </cell>
          <cell r="I141">
            <v>489.6</v>
          </cell>
          <cell r="J141">
            <v>302</v>
          </cell>
          <cell r="K141">
            <v>4090149</v>
          </cell>
          <cell r="L141">
            <v>31</v>
          </cell>
          <cell r="M141">
            <v>0</v>
          </cell>
          <cell r="N141">
            <v>441127</v>
          </cell>
          <cell r="O141">
            <v>359454</v>
          </cell>
          <cell r="P141">
            <v>206218</v>
          </cell>
          <cell r="Q141">
            <v>76478</v>
          </cell>
          <cell r="R141">
            <v>133912</v>
          </cell>
          <cell r="U141">
            <v>146556</v>
          </cell>
          <cell r="V141">
            <v>0</v>
          </cell>
          <cell r="W141">
            <v>487029</v>
          </cell>
          <cell r="X141">
            <v>0.43</v>
          </cell>
          <cell r="Y141">
            <v>0.42699999999999999</v>
          </cell>
          <cell r="Z141">
            <v>225</v>
          </cell>
          <cell r="AA141">
            <v>83</v>
          </cell>
          <cell r="AB141">
            <v>0.42880000000000001</v>
          </cell>
          <cell r="AC141">
            <v>0.04</v>
          </cell>
          <cell r="AD141">
            <v>0.24</v>
          </cell>
        </row>
        <row r="142">
          <cell r="A142">
            <v>347</v>
          </cell>
          <cell r="B142" t="str">
            <v>347 - Kinsely-Offerle</v>
          </cell>
          <cell r="C142" t="str">
            <v>Edwards</v>
          </cell>
          <cell r="D142">
            <v>26324337</v>
          </cell>
          <cell r="E142">
            <v>24117707</v>
          </cell>
          <cell r="F142">
            <v>26463820</v>
          </cell>
          <cell r="G142">
            <v>24260047</v>
          </cell>
          <cell r="H142">
            <v>353</v>
          </cell>
          <cell r="I142">
            <v>356.5</v>
          </cell>
          <cell r="J142">
            <v>340</v>
          </cell>
          <cell r="K142">
            <v>3060624</v>
          </cell>
          <cell r="L142">
            <v>21</v>
          </cell>
          <cell r="M142">
            <v>0</v>
          </cell>
          <cell r="N142">
            <v>311486</v>
          </cell>
          <cell r="O142">
            <v>378000</v>
          </cell>
          <cell r="P142">
            <v>129775</v>
          </cell>
          <cell r="Q142">
            <v>54829</v>
          </cell>
          <cell r="R142">
            <v>96006</v>
          </cell>
          <cell r="U142">
            <v>27476</v>
          </cell>
          <cell r="V142">
            <v>0</v>
          </cell>
          <cell r="W142">
            <v>388779</v>
          </cell>
          <cell r="X142">
            <v>0.434</v>
          </cell>
          <cell r="Y142">
            <v>0.44800000000000001</v>
          </cell>
          <cell r="Z142">
            <v>157</v>
          </cell>
          <cell r="AA142">
            <v>65</v>
          </cell>
          <cell r="AB142">
            <v>0.30320000000000003</v>
          </cell>
          <cell r="AC142">
            <v>0</v>
          </cell>
          <cell r="AD142">
            <v>0.11</v>
          </cell>
        </row>
        <row r="143">
          <cell r="A143">
            <v>348</v>
          </cell>
          <cell r="B143" t="str">
            <v>348 - Baldwin City</v>
          </cell>
          <cell r="C143" t="str">
            <v>Douglas</v>
          </cell>
          <cell r="D143">
            <v>73555720</v>
          </cell>
          <cell r="E143">
            <v>67119659</v>
          </cell>
          <cell r="F143">
            <v>74100684</v>
          </cell>
          <cell r="G143">
            <v>67693651</v>
          </cell>
          <cell r="H143">
            <v>1314.4</v>
          </cell>
          <cell r="I143">
            <v>1329.4</v>
          </cell>
          <cell r="J143">
            <v>139</v>
          </cell>
          <cell r="K143">
            <v>8232267</v>
          </cell>
          <cell r="L143">
            <v>79</v>
          </cell>
          <cell r="M143">
            <v>0</v>
          </cell>
          <cell r="N143">
            <v>984014</v>
          </cell>
          <cell r="O143">
            <v>1020316</v>
          </cell>
          <cell r="P143">
            <v>373384</v>
          </cell>
          <cell r="Q143">
            <v>140021</v>
          </cell>
          <cell r="R143">
            <v>245177</v>
          </cell>
          <cell r="U143">
            <v>294348</v>
          </cell>
          <cell r="V143">
            <v>0</v>
          </cell>
          <cell r="W143">
            <v>1163351</v>
          </cell>
          <cell r="X143">
            <v>0.224</v>
          </cell>
          <cell r="Y143">
            <v>0.17899999999999999</v>
          </cell>
          <cell r="Z143">
            <v>303</v>
          </cell>
          <cell r="AA143">
            <v>119</v>
          </cell>
          <cell r="AB143">
            <v>0.47410000000000002</v>
          </cell>
          <cell r="AC143">
            <v>0.09</v>
          </cell>
          <cell r="AD143">
            <v>0.28999999999999998</v>
          </cell>
        </row>
        <row r="144">
          <cell r="A144">
            <v>349</v>
          </cell>
          <cell r="B144" t="str">
            <v>349 - Stafford</v>
          </cell>
          <cell r="C144" t="str">
            <v>Stafford</v>
          </cell>
          <cell r="D144">
            <v>16079598</v>
          </cell>
          <cell r="E144">
            <v>14600976</v>
          </cell>
          <cell r="F144">
            <v>16856546</v>
          </cell>
          <cell r="G144">
            <v>15366647</v>
          </cell>
          <cell r="H144">
            <v>268.8</v>
          </cell>
          <cell r="I144">
            <v>269.60000000000002</v>
          </cell>
          <cell r="J144">
            <v>242</v>
          </cell>
          <cell r="K144">
            <v>2336610</v>
          </cell>
          <cell r="L144">
            <v>11</v>
          </cell>
          <cell r="M144">
            <v>0</v>
          </cell>
          <cell r="N144">
            <v>243119</v>
          </cell>
          <cell r="O144">
            <v>276116</v>
          </cell>
          <cell r="P144">
            <v>111123</v>
          </cell>
          <cell r="Q144">
            <v>39656</v>
          </cell>
          <cell r="R144">
            <v>69438</v>
          </cell>
          <cell r="U144">
            <v>59905</v>
          </cell>
          <cell r="V144">
            <v>0</v>
          </cell>
          <cell r="W144">
            <v>271072</v>
          </cell>
          <cell r="X144">
            <v>0.54200000000000004</v>
          </cell>
          <cell r="Y144">
            <v>0.35</v>
          </cell>
          <cell r="Z144">
            <v>146</v>
          </cell>
          <cell r="AA144">
            <v>39</v>
          </cell>
          <cell r="AB144">
            <v>0.40629999999999999</v>
          </cell>
          <cell r="AC144">
            <v>0.02</v>
          </cell>
          <cell r="AD144">
            <v>0.22</v>
          </cell>
        </row>
        <row r="145">
          <cell r="A145">
            <v>350</v>
          </cell>
          <cell r="B145" t="str">
            <v>350 - St. John-Hudson</v>
          </cell>
          <cell r="C145" t="str">
            <v>Stafford</v>
          </cell>
          <cell r="D145">
            <v>33026245</v>
          </cell>
          <cell r="E145">
            <v>31110903</v>
          </cell>
          <cell r="F145">
            <v>37392274</v>
          </cell>
          <cell r="G145">
            <v>35447796</v>
          </cell>
          <cell r="H145">
            <v>327.5</v>
          </cell>
          <cell r="I145">
            <v>304.5</v>
          </cell>
          <cell r="J145">
            <v>308.3</v>
          </cell>
          <cell r="K145">
            <v>2608656</v>
          </cell>
          <cell r="L145">
            <v>20</v>
          </cell>
          <cell r="M145">
            <v>0</v>
          </cell>
          <cell r="N145">
            <v>361973</v>
          </cell>
          <cell r="O145">
            <v>378624</v>
          </cell>
          <cell r="P145">
            <v>139024</v>
          </cell>
          <cell r="Q145">
            <v>49474</v>
          </cell>
          <cell r="R145">
            <v>86628</v>
          </cell>
          <cell r="U145">
            <v>2746</v>
          </cell>
          <cell r="V145">
            <v>0</v>
          </cell>
          <cell r="W145">
            <v>393541</v>
          </cell>
          <cell r="X145">
            <v>0.38600000000000001</v>
          </cell>
          <cell r="Y145">
            <v>0.33900000000000002</v>
          </cell>
          <cell r="Z145">
            <v>128</v>
          </cell>
          <cell r="AA145">
            <v>47</v>
          </cell>
          <cell r="AB145">
            <v>0</v>
          </cell>
          <cell r="AC145">
            <v>0</v>
          </cell>
          <cell r="AD145">
            <v>0</v>
          </cell>
        </row>
        <row r="146">
          <cell r="A146">
            <v>351</v>
          </cell>
          <cell r="B146" t="str">
            <v>351 - Macksville</v>
          </cell>
          <cell r="C146" t="str">
            <v>Stafford</v>
          </cell>
          <cell r="D146">
            <v>34993594</v>
          </cell>
          <cell r="E146">
            <v>33851235</v>
          </cell>
          <cell r="F146">
            <v>32983931</v>
          </cell>
          <cell r="G146">
            <v>31820575</v>
          </cell>
          <cell r="H146">
            <v>258.10000000000002</v>
          </cell>
          <cell r="I146">
            <v>271.5</v>
          </cell>
          <cell r="J146">
            <v>360</v>
          </cell>
          <cell r="K146">
            <v>2366924</v>
          </cell>
          <cell r="L146">
            <v>19</v>
          </cell>
          <cell r="M146">
            <v>0</v>
          </cell>
          <cell r="N146">
            <v>274900</v>
          </cell>
          <cell r="O146">
            <v>252802</v>
          </cell>
          <cell r="P146">
            <v>119148</v>
          </cell>
          <cell r="Q146">
            <v>43675</v>
          </cell>
          <cell r="R146">
            <v>76475</v>
          </cell>
          <cell r="U146">
            <v>0</v>
          </cell>
          <cell r="V146">
            <v>0</v>
          </cell>
          <cell r="W146">
            <v>308335</v>
          </cell>
          <cell r="X146">
            <v>0.434</v>
          </cell>
          <cell r="Y146">
            <v>0.35499999999999998</v>
          </cell>
          <cell r="Z146">
            <v>121</v>
          </cell>
          <cell r="AA146">
            <v>48</v>
          </cell>
          <cell r="AB146">
            <v>0</v>
          </cell>
          <cell r="AC146">
            <v>0</v>
          </cell>
          <cell r="AD146">
            <v>0</v>
          </cell>
        </row>
        <row r="147">
          <cell r="A147">
            <v>352</v>
          </cell>
          <cell r="B147" t="str">
            <v>352 - Goodland</v>
          </cell>
          <cell r="C147" t="str">
            <v>Sherman</v>
          </cell>
          <cell r="D147">
            <v>61341711</v>
          </cell>
          <cell r="E147">
            <v>55825913</v>
          </cell>
          <cell r="F147">
            <v>61409368</v>
          </cell>
          <cell r="G147">
            <v>55885318</v>
          </cell>
          <cell r="H147">
            <v>899.5</v>
          </cell>
          <cell r="I147">
            <v>924.5</v>
          </cell>
          <cell r="J147">
            <v>914.2</v>
          </cell>
          <cell r="K147">
            <v>6485814</v>
          </cell>
          <cell r="L147">
            <v>46</v>
          </cell>
          <cell r="M147">
            <v>0</v>
          </cell>
          <cell r="N147">
            <v>750412</v>
          </cell>
          <cell r="O147">
            <v>861637</v>
          </cell>
          <cell r="P147">
            <v>312881</v>
          </cell>
          <cell r="Q147">
            <v>114741</v>
          </cell>
          <cell r="R147">
            <v>200911</v>
          </cell>
          <cell r="U147">
            <v>165119</v>
          </cell>
          <cell r="V147">
            <v>0</v>
          </cell>
          <cell r="W147">
            <v>840606</v>
          </cell>
          <cell r="X147">
            <v>0.36899999999999999</v>
          </cell>
          <cell r="Y147">
            <v>0.38700000000000001</v>
          </cell>
          <cell r="Z147">
            <v>341</v>
          </cell>
          <cell r="AA147">
            <v>86</v>
          </cell>
          <cell r="AB147">
            <v>0.36980000000000002</v>
          </cell>
          <cell r="AC147">
            <v>0</v>
          </cell>
          <cell r="AD147">
            <v>0.18</v>
          </cell>
        </row>
        <row r="148">
          <cell r="A148">
            <v>353</v>
          </cell>
          <cell r="B148" t="str">
            <v>353 - Wellington</v>
          </cell>
          <cell r="C148" t="str">
            <v>Sumner</v>
          </cell>
          <cell r="D148">
            <v>63851889</v>
          </cell>
          <cell r="E148">
            <v>55494390</v>
          </cell>
          <cell r="F148">
            <v>64742549</v>
          </cell>
          <cell r="G148">
            <v>56352687</v>
          </cell>
          <cell r="H148">
            <v>1641.3</v>
          </cell>
          <cell r="I148">
            <v>1649.8</v>
          </cell>
          <cell r="J148">
            <v>228.5</v>
          </cell>
          <cell r="K148">
            <v>10478719</v>
          </cell>
          <cell r="L148">
            <v>115</v>
          </cell>
          <cell r="M148">
            <v>0</v>
          </cell>
          <cell r="N148">
            <v>1816204</v>
          </cell>
          <cell r="O148">
            <v>1924512</v>
          </cell>
          <cell r="P148">
            <v>450002</v>
          </cell>
          <cell r="Q148">
            <v>174435</v>
          </cell>
          <cell r="R148">
            <v>305435</v>
          </cell>
          <cell r="U148">
            <v>478000</v>
          </cell>
          <cell r="V148">
            <v>0</v>
          </cell>
          <cell r="W148">
            <v>1855849</v>
          </cell>
          <cell r="X148">
            <v>0.43099999999999999</v>
          </cell>
          <cell r="Y148">
            <v>0.439</v>
          </cell>
          <cell r="Z148">
            <v>713</v>
          </cell>
          <cell r="AA148">
            <v>269</v>
          </cell>
          <cell r="AB148">
            <v>0.65110000000000001</v>
          </cell>
          <cell r="AC148">
            <v>0.28000000000000003</v>
          </cell>
          <cell r="AD148">
            <v>0.48</v>
          </cell>
        </row>
        <row r="149">
          <cell r="A149">
            <v>355</v>
          </cell>
          <cell r="B149" t="str">
            <v>355 - Ellinwood</v>
          </cell>
          <cell r="C149" t="str">
            <v>Barton</v>
          </cell>
          <cell r="D149">
            <v>30322057</v>
          </cell>
          <cell r="E149">
            <v>27633344</v>
          </cell>
          <cell r="F149">
            <v>34664938</v>
          </cell>
          <cell r="G149">
            <v>31972448</v>
          </cell>
          <cell r="H149">
            <v>406.7</v>
          </cell>
          <cell r="I149">
            <v>390.7</v>
          </cell>
          <cell r="J149">
            <v>154</v>
          </cell>
          <cell r="K149">
            <v>3120073</v>
          </cell>
          <cell r="L149">
            <v>22</v>
          </cell>
          <cell r="M149">
            <v>0</v>
          </cell>
          <cell r="N149">
            <v>390218</v>
          </cell>
          <cell r="O149">
            <v>408204</v>
          </cell>
          <cell r="P149">
            <v>155773</v>
          </cell>
          <cell r="Q149">
            <v>57036</v>
          </cell>
          <cell r="R149">
            <v>99870</v>
          </cell>
          <cell r="U149">
            <v>61125</v>
          </cell>
          <cell r="V149">
            <v>0</v>
          </cell>
          <cell r="W149">
            <v>443078</v>
          </cell>
          <cell r="X149">
            <v>0.33800000000000002</v>
          </cell>
          <cell r="Y149">
            <v>0.29099999999999998</v>
          </cell>
          <cell r="Z149">
            <v>138</v>
          </cell>
          <cell r="AA149">
            <v>59</v>
          </cell>
          <cell r="AB149">
            <v>0.15029999999999999</v>
          </cell>
          <cell r="AC149">
            <v>0</v>
          </cell>
          <cell r="AD149">
            <v>0</v>
          </cell>
        </row>
        <row r="150">
          <cell r="A150">
            <v>356</v>
          </cell>
          <cell r="B150" t="str">
            <v>356 - Conway Springs</v>
          </cell>
          <cell r="C150" t="str">
            <v>Sumner</v>
          </cell>
          <cell r="D150">
            <v>19292220</v>
          </cell>
          <cell r="E150">
            <v>17121133</v>
          </cell>
          <cell r="F150">
            <v>19516212</v>
          </cell>
          <cell r="G150">
            <v>17350900</v>
          </cell>
          <cell r="H150">
            <v>518.79999999999995</v>
          </cell>
          <cell r="I150">
            <v>503.8</v>
          </cell>
          <cell r="J150">
            <v>158.19999999999999</v>
          </cell>
          <cell r="K150">
            <v>3776370</v>
          </cell>
          <cell r="L150">
            <v>27</v>
          </cell>
          <cell r="M150">
            <v>0</v>
          </cell>
          <cell r="N150">
            <v>407954</v>
          </cell>
          <cell r="O150">
            <v>430832</v>
          </cell>
          <cell r="P150">
            <v>193492</v>
          </cell>
          <cell r="Q150">
            <v>70333</v>
          </cell>
          <cell r="R150">
            <v>123153</v>
          </cell>
          <cell r="U150">
            <v>160872</v>
          </cell>
          <cell r="V150">
            <v>0</v>
          </cell>
          <cell r="W150">
            <v>511282</v>
          </cell>
          <cell r="X150">
            <v>0.26</v>
          </cell>
          <cell r="Y150">
            <v>0.26400000000000001</v>
          </cell>
          <cell r="Z150">
            <v>135</v>
          </cell>
          <cell r="AA150">
            <v>102</v>
          </cell>
          <cell r="AB150">
            <v>0.63770000000000004</v>
          </cell>
          <cell r="AC150">
            <v>0.26</v>
          </cell>
          <cell r="AD150">
            <v>0.46</v>
          </cell>
        </row>
        <row r="151">
          <cell r="A151">
            <v>357</v>
          </cell>
          <cell r="B151" t="str">
            <v>357 - Belle Plaine</v>
          </cell>
          <cell r="C151" t="str">
            <v>Sumner</v>
          </cell>
          <cell r="D151">
            <v>20183930</v>
          </cell>
          <cell r="E151">
            <v>17139596</v>
          </cell>
          <cell r="F151">
            <v>20610729</v>
          </cell>
          <cell r="G151">
            <v>17560921</v>
          </cell>
          <cell r="H151">
            <v>644</v>
          </cell>
          <cell r="I151">
            <v>605.5</v>
          </cell>
          <cell r="J151">
            <v>84</v>
          </cell>
          <cell r="K151">
            <v>4945266</v>
          </cell>
          <cell r="L151">
            <v>30</v>
          </cell>
          <cell r="M151">
            <v>0</v>
          </cell>
          <cell r="N151">
            <v>800902</v>
          </cell>
          <cell r="O151">
            <v>818275</v>
          </cell>
          <cell r="P151">
            <v>250235</v>
          </cell>
          <cell r="Q151">
            <v>88816</v>
          </cell>
          <cell r="R151">
            <v>155517</v>
          </cell>
          <cell r="U151">
            <v>274228</v>
          </cell>
          <cell r="V151">
            <v>0</v>
          </cell>
          <cell r="W151">
            <v>945653</v>
          </cell>
          <cell r="X151">
            <v>0.33</v>
          </cell>
          <cell r="Y151">
            <v>0.32600000000000001</v>
          </cell>
          <cell r="Z151">
            <v>216</v>
          </cell>
          <cell r="AA151">
            <v>89</v>
          </cell>
          <cell r="AB151">
            <v>0.68579999999999997</v>
          </cell>
          <cell r="AC151">
            <v>0.31</v>
          </cell>
          <cell r="AD151">
            <v>0.51</v>
          </cell>
        </row>
        <row r="152">
          <cell r="A152">
            <v>358</v>
          </cell>
          <cell r="B152" t="str">
            <v>358 - Oxford</v>
          </cell>
          <cell r="C152" t="str">
            <v>Sumner</v>
          </cell>
          <cell r="D152">
            <v>15712812</v>
          </cell>
          <cell r="E152">
            <v>13914191</v>
          </cell>
          <cell r="F152">
            <v>16008210</v>
          </cell>
          <cell r="G152">
            <v>14214503</v>
          </cell>
          <cell r="H152">
            <v>332.5</v>
          </cell>
          <cell r="I152">
            <v>332.7</v>
          </cell>
          <cell r="J152">
            <v>136</v>
          </cell>
          <cell r="K152">
            <v>2734640</v>
          </cell>
          <cell r="L152">
            <v>13</v>
          </cell>
          <cell r="M152">
            <v>0</v>
          </cell>
          <cell r="N152">
            <v>392910</v>
          </cell>
          <cell r="O152">
            <v>424555</v>
          </cell>
          <cell r="P152">
            <v>134214</v>
          </cell>
          <cell r="Q152">
            <v>47839</v>
          </cell>
          <cell r="R152">
            <v>83766</v>
          </cell>
          <cell r="U152">
            <v>108054</v>
          </cell>
          <cell r="V152">
            <v>0</v>
          </cell>
          <cell r="W152">
            <v>489876</v>
          </cell>
          <cell r="X152">
            <v>0.35599999999999998</v>
          </cell>
          <cell r="Y152">
            <v>0.26300000000000001</v>
          </cell>
          <cell r="Z152">
            <v>120</v>
          </cell>
          <cell r="AA152">
            <v>54</v>
          </cell>
          <cell r="AB152">
            <v>0.5494</v>
          </cell>
          <cell r="AC152">
            <v>0.17</v>
          </cell>
          <cell r="AD152">
            <v>0.37</v>
          </cell>
        </row>
        <row r="153">
          <cell r="A153">
            <v>359</v>
          </cell>
          <cell r="B153" t="str">
            <v>359 - Argonia</v>
          </cell>
          <cell r="C153" t="str">
            <v>Sumner</v>
          </cell>
          <cell r="D153">
            <v>12582264</v>
          </cell>
          <cell r="E153">
            <v>11543853</v>
          </cell>
          <cell r="F153">
            <v>12456134</v>
          </cell>
          <cell r="G153">
            <v>11413830</v>
          </cell>
          <cell r="H153">
            <v>177.5</v>
          </cell>
          <cell r="I153">
            <v>169.9</v>
          </cell>
          <cell r="J153">
            <v>174</v>
          </cell>
          <cell r="K153">
            <v>1639761</v>
          </cell>
          <cell r="L153">
            <v>7</v>
          </cell>
          <cell r="M153">
            <v>0</v>
          </cell>
          <cell r="N153">
            <v>215734</v>
          </cell>
          <cell r="O153">
            <v>236881</v>
          </cell>
          <cell r="P153">
            <v>83353</v>
          </cell>
          <cell r="Q153">
            <v>30097</v>
          </cell>
          <cell r="R153">
            <v>52699</v>
          </cell>
          <cell r="U153">
            <v>31982</v>
          </cell>
          <cell r="V153">
            <v>0</v>
          </cell>
          <cell r="W153">
            <v>242767</v>
          </cell>
          <cell r="X153">
            <v>0.19</v>
          </cell>
          <cell r="Y153">
            <v>0.252</v>
          </cell>
          <cell r="Z153">
            <v>34</v>
          </cell>
          <cell r="AA153">
            <v>16</v>
          </cell>
          <cell r="AB153">
            <v>0.31030000000000002</v>
          </cell>
          <cell r="AC153">
            <v>0</v>
          </cell>
          <cell r="AD153">
            <v>0.12</v>
          </cell>
        </row>
        <row r="154">
          <cell r="A154">
            <v>360</v>
          </cell>
          <cell r="B154" t="str">
            <v>360 - Caldwell</v>
          </cell>
          <cell r="C154" t="str">
            <v>Sumner</v>
          </cell>
          <cell r="D154">
            <v>14123167</v>
          </cell>
          <cell r="E154">
            <v>12535373</v>
          </cell>
          <cell r="F154">
            <v>13818989</v>
          </cell>
          <cell r="G154">
            <v>12224114</v>
          </cell>
          <cell r="H154">
            <v>230.5</v>
          </cell>
          <cell r="I154">
            <v>236.5</v>
          </cell>
          <cell r="J154">
            <v>194</v>
          </cell>
          <cell r="K154">
            <v>2157476</v>
          </cell>
          <cell r="L154">
            <v>11</v>
          </cell>
          <cell r="M154">
            <v>0</v>
          </cell>
          <cell r="N154">
            <v>265089</v>
          </cell>
          <cell r="O154">
            <v>288731</v>
          </cell>
          <cell r="P154">
            <v>97872</v>
          </cell>
          <cell r="Q154">
            <v>37691</v>
          </cell>
          <cell r="R154">
            <v>65997</v>
          </cell>
          <cell r="U154">
            <v>63376</v>
          </cell>
          <cell r="V154">
            <v>0</v>
          </cell>
          <cell r="W154">
            <v>317974</v>
          </cell>
          <cell r="X154">
            <v>0.46200000000000002</v>
          </cell>
          <cell r="Y154">
            <v>0.47899999999999998</v>
          </cell>
          <cell r="Z154">
            <v>111</v>
          </cell>
          <cell r="AA154">
            <v>37</v>
          </cell>
          <cell r="AB154">
            <v>0.45250000000000001</v>
          </cell>
          <cell r="AC154">
            <v>7.0000000000000007E-2</v>
          </cell>
          <cell r="AD154">
            <v>0.27</v>
          </cell>
        </row>
        <row r="155">
          <cell r="A155">
            <v>361</v>
          </cell>
          <cell r="B155" t="str">
            <v>361 - Anthony-Harper</v>
          </cell>
          <cell r="C155" t="str">
            <v>Harper</v>
          </cell>
          <cell r="D155">
            <v>50778136</v>
          </cell>
          <cell r="E155">
            <v>45845264</v>
          </cell>
          <cell r="F155">
            <v>49788978</v>
          </cell>
          <cell r="G155">
            <v>44853863</v>
          </cell>
          <cell r="H155">
            <v>819.1</v>
          </cell>
          <cell r="I155">
            <v>825.1</v>
          </cell>
          <cell r="J155">
            <v>597.5</v>
          </cell>
          <cell r="K155">
            <v>6751955</v>
          </cell>
          <cell r="L155">
            <v>23</v>
          </cell>
          <cell r="M155">
            <v>0</v>
          </cell>
          <cell r="N155">
            <v>806766</v>
          </cell>
          <cell r="O155">
            <v>917396</v>
          </cell>
          <cell r="P155">
            <v>295388</v>
          </cell>
          <cell r="Q155">
            <v>113259</v>
          </cell>
          <cell r="R155">
            <v>198316</v>
          </cell>
          <cell r="U155">
            <v>162381</v>
          </cell>
          <cell r="V155">
            <v>0</v>
          </cell>
          <cell r="W155">
            <v>953494</v>
          </cell>
          <cell r="X155">
            <v>0.55900000000000005</v>
          </cell>
          <cell r="Y155">
            <v>0.49099999999999999</v>
          </cell>
          <cell r="Z155">
            <v>469</v>
          </cell>
          <cell r="AA155">
            <v>133</v>
          </cell>
          <cell r="AB155">
            <v>0.43740000000000001</v>
          </cell>
          <cell r="AC155">
            <v>0.05</v>
          </cell>
          <cell r="AD155">
            <v>0.25</v>
          </cell>
        </row>
        <row r="156">
          <cell r="A156">
            <v>362</v>
          </cell>
          <cell r="B156" t="str">
            <v>362 - Prairie View</v>
          </cell>
          <cell r="C156" t="str">
            <v>Linn</v>
          </cell>
          <cell r="D156">
            <v>126997587</v>
          </cell>
          <cell r="E156">
            <v>120704690</v>
          </cell>
          <cell r="F156">
            <v>128215366</v>
          </cell>
          <cell r="G156">
            <v>121926969</v>
          </cell>
          <cell r="H156">
            <v>935.4</v>
          </cell>
          <cell r="I156">
            <v>944.5</v>
          </cell>
          <cell r="J156">
            <v>320</v>
          </cell>
          <cell r="K156">
            <v>7515733</v>
          </cell>
          <cell r="L156">
            <v>74</v>
          </cell>
          <cell r="M156">
            <v>0</v>
          </cell>
          <cell r="N156">
            <v>1245812</v>
          </cell>
          <cell r="O156">
            <v>1383881</v>
          </cell>
          <cell r="P156">
            <v>323398</v>
          </cell>
          <cell r="Q156">
            <v>122786</v>
          </cell>
          <cell r="R156">
            <v>214999</v>
          </cell>
          <cell r="U156">
            <v>0</v>
          </cell>
          <cell r="V156">
            <v>0</v>
          </cell>
          <cell r="W156">
            <v>1412645</v>
          </cell>
          <cell r="X156">
            <v>0.41299999999999998</v>
          </cell>
          <cell r="Y156">
            <v>0.38800000000000001</v>
          </cell>
          <cell r="Z156">
            <v>393</v>
          </cell>
          <cell r="AA156">
            <v>158</v>
          </cell>
          <cell r="AB156">
            <v>0</v>
          </cell>
          <cell r="AC156">
            <v>0</v>
          </cell>
          <cell r="AD156">
            <v>0</v>
          </cell>
        </row>
        <row r="157">
          <cell r="A157">
            <v>363</v>
          </cell>
          <cell r="B157" t="str">
            <v>363 - Holcomb</v>
          </cell>
          <cell r="C157" t="str">
            <v>Finney</v>
          </cell>
          <cell r="D157">
            <v>176932368</v>
          </cell>
          <cell r="E157">
            <v>174900087</v>
          </cell>
          <cell r="F157">
            <v>157484945</v>
          </cell>
          <cell r="G157">
            <v>155444920</v>
          </cell>
          <cell r="H157">
            <v>923.9</v>
          </cell>
          <cell r="I157">
            <v>944</v>
          </cell>
          <cell r="J157">
            <v>231</v>
          </cell>
          <cell r="K157">
            <v>6455105</v>
          </cell>
          <cell r="L157">
            <v>37</v>
          </cell>
          <cell r="M157">
            <v>0</v>
          </cell>
          <cell r="N157">
            <v>450792</v>
          </cell>
          <cell r="O157">
            <v>472648</v>
          </cell>
          <cell r="P157">
            <v>292108</v>
          </cell>
          <cell r="Q157">
            <v>118558</v>
          </cell>
          <cell r="R157">
            <v>207595</v>
          </cell>
          <cell r="U157">
            <v>0</v>
          </cell>
          <cell r="V157">
            <v>0</v>
          </cell>
          <cell r="W157">
            <v>529925</v>
          </cell>
          <cell r="X157">
            <v>0.433</v>
          </cell>
          <cell r="Y157">
            <v>0.40699999999999997</v>
          </cell>
          <cell r="Z157">
            <v>414</v>
          </cell>
          <cell r="AA157">
            <v>137</v>
          </cell>
          <cell r="AB157">
            <v>0</v>
          </cell>
          <cell r="AC157">
            <v>0</v>
          </cell>
          <cell r="AD157">
            <v>0</v>
          </cell>
        </row>
        <row r="158">
          <cell r="A158">
            <v>364</v>
          </cell>
          <cell r="B158" t="str">
            <v>364 - Marysville</v>
          </cell>
          <cell r="C158" t="str">
            <v>Marshall</v>
          </cell>
          <cell r="D158">
            <v>60021571</v>
          </cell>
          <cell r="E158">
            <v>54937209</v>
          </cell>
          <cell r="F158">
            <v>69525985</v>
          </cell>
          <cell r="G158">
            <v>64448774</v>
          </cell>
          <cell r="H158">
            <v>711.2</v>
          </cell>
          <cell r="I158">
            <v>687.5</v>
          </cell>
          <cell r="J158">
            <v>325</v>
          </cell>
          <cell r="K158">
            <v>5243297</v>
          </cell>
          <cell r="L158">
            <v>23</v>
          </cell>
          <cell r="M158">
            <v>0</v>
          </cell>
          <cell r="N158">
            <v>688620</v>
          </cell>
          <cell r="O158">
            <v>720884</v>
          </cell>
          <cell r="P158">
            <v>253580</v>
          </cell>
          <cell r="Q158">
            <v>93785</v>
          </cell>
          <cell r="R158">
            <v>164218</v>
          </cell>
          <cell r="U158">
            <v>117653</v>
          </cell>
          <cell r="V158">
            <v>0</v>
          </cell>
          <cell r="W158">
            <v>863551</v>
          </cell>
          <cell r="X158">
            <v>0.30499999999999999</v>
          </cell>
          <cell r="Y158">
            <v>0.29499999999999998</v>
          </cell>
          <cell r="Z158">
            <v>221</v>
          </cell>
          <cell r="AA158">
            <v>84</v>
          </cell>
          <cell r="AB158">
            <v>7.17E-2</v>
          </cell>
          <cell r="AC158">
            <v>0</v>
          </cell>
          <cell r="AD158">
            <v>0</v>
          </cell>
        </row>
        <row r="159">
          <cell r="A159">
            <v>365</v>
          </cell>
          <cell r="B159" t="str">
            <v>365 - Garnett</v>
          </cell>
          <cell r="C159" t="str">
            <v>Anderson</v>
          </cell>
          <cell r="D159">
            <v>59202055</v>
          </cell>
          <cell r="E159">
            <v>52715396</v>
          </cell>
          <cell r="F159">
            <v>60143536</v>
          </cell>
          <cell r="G159">
            <v>53657658</v>
          </cell>
          <cell r="H159">
            <v>1100.9000000000001</v>
          </cell>
          <cell r="I159">
            <v>1081.7</v>
          </cell>
          <cell r="J159">
            <v>430</v>
          </cell>
          <cell r="K159">
            <v>7597229</v>
          </cell>
          <cell r="L159">
            <v>85</v>
          </cell>
          <cell r="M159">
            <v>0</v>
          </cell>
          <cell r="N159">
            <v>880223</v>
          </cell>
          <cell r="O159">
            <v>945587</v>
          </cell>
          <cell r="P159">
            <v>362932</v>
          </cell>
          <cell r="Q159">
            <v>134746</v>
          </cell>
          <cell r="R159">
            <v>235940</v>
          </cell>
          <cell r="U159">
            <v>252387</v>
          </cell>
          <cell r="V159">
            <v>0</v>
          </cell>
          <cell r="W159">
            <v>918984</v>
          </cell>
          <cell r="X159">
            <v>0.40100000000000002</v>
          </cell>
          <cell r="Y159">
            <v>0.39700000000000002</v>
          </cell>
          <cell r="Z159">
            <v>442</v>
          </cell>
          <cell r="AA159">
            <v>163</v>
          </cell>
          <cell r="AB159">
            <v>0.46779999999999999</v>
          </cell>
          <cell r="AC159">
            <v>0.08</v>
          </cell>
          <cell r="AD159">
            <v>0.28000000000000003</v>
          </cell>
        </row>
        <row r="160">
          <cell r="A160">
            <v>366</v>
          </cell>
          <cell r="B160" t="str">
            <v>366 - Woodson</v>
          </cell>
          <cell r="C160" t="str">
            <v>Woodson</v>
          </cell>
          <cell r="D160">
            <v>23054150</v>
          </cell>
          <cell r="E160">
            <v>20159557</v>
          </cell>
          <cell r="F160">
            <v>23905025</v>
          </cell>
          <cell r="G160">
            <v>21013954</v>
          </cell>
          <cell r="H160">
            <v>391.3</v>
          </cell>
          <cell r="I160">
            <v>421.2</v>
          </cell>
          <cell r="J160">
            <v>422</v>
          </cell>
          <cell r="K160">
            <v>3583851</v>
          </cell>
          <cell r="L160">
            <v>7</v>
          </cell>
          <cell r="M160">
            <v>0</v>
          </cell>
          <cell r="N160">
            <v>497628</v>
          </cell>
          <cell r="O160">
            <v>511270</v>
          </cell>
          <cell r="P160">
            <v>161612</v>
          </cell>
          <cell r="Q160">
            <v>59919</v>
          </cell>
          <cell r="R160">
            <v>104919</v>
          </cell>
          <cell r="U160">
            <v>95779</v>
          </cell>
          <cell r="V160">
            <v>0</v>
          </cell>
          <cell r="W160">
            <v>550054</v>
          </cell>
          <cell r="X160">
            <v>0.47499999999999998</v>
          </cell>
          <cell r="Y160">
            <v>0.48</v>
          </cell>
          <cell r="Z160">
            <v>204</v>
          </cell>
          <cell r="AA160">
            <v>52</v>
          </cell>
          <cell r="AB160">
            <v>0.46560000000000001</v>
          </cell>
          <cell r="AC160">
            <v>0.08</v>
          </cell>
          <cell r="AD160">
            <v>0.28000000000000003</v>
          </cell>
        </row>
        <row r="161">
          <cell r="A161">
            <v>367</v>
          </cell>
          <cell r="B161" t="str">
            <v>367 - Osawatomie</v>
          </cell>
          <cell r="C161" t="str">
            <v>Miami</v>
          </cell>
          <cell r="D161">
            <v>44136650</v>
          </cell>
          <cell r="E161">
            <v>38485901</v>
          </cell>
          <cell r="F161">
            <v>44628542</v>
          </cell>
          <cell r="G161">
            <v>38997352</v>
          </cell>
          <cell r="H161">
            <v>1125.5</v>
          </cell>
          <cell r="I161">
            <v>1110</v>
          </cell>
          <cell r="J161">
            <v>103</v>
          </cell>
          <cell r="K161">
            <v>8281873</v>
          </cell>
          <cell r="L161">
            <v>71</v>
          </cell>
          <cell r="M161">
            <v>0</v>
          </cell>
          <cell r="N161">
            <v>1321410</v>
          </cell>
          <cell r="O161">
            <v>1360555</v>
          </cell>
          <cell r="P161">
            <v>378347</v>
          </cell>
          <cell r="Q161">
            <v>141882</v>
          </cell>
          <cell r="R161">
            <v>248435</v>
          </cell>
          <cell r="U161">
            <v>314586</v>
          </cell>
          <cell r="V161">
            <v>0</v>
          </cell>
          <cell r="W161">
            <v>1467129</v>
          </cell>
          <cell r="X161">
            <v>0.51400000000000001</v>
          </cell>
          <cell r="Y161">
            <v>0.51100000000000001</v>
          </cell>
          <cell r="Z161">
            <v>584</v>
          </cell>
          <cell r="AA161">
            <v>190</v>
          </cell>
          <cell r="AB161">
            <v>0.62280000000000002</v>
          </cell>
          <cell r="AC161">
            <v>0.25</v>
          </cell>
          <cell r="AD161">
            <v>0.45</v>
          </cell>
        </row>
        <row r="162">
          <cell r="A162">
            <v>368</v>
          </cell>
          <cell r="B162" t="str">
            <v>368 - Paola</v>
          </cell>
          <cell r="C162" t="str">
            <v>Miami</v>
          </cell>
          <cell r="D162">
            <v>132273894</v>
          </cell>
          <cell r="E162">
            <v>122443265</v>
          </cell>
          <cell r="F162">
            <v>130482200</v>
          </cell>
          <cell r="G162">
            <v>120628647</v>
          </cell>
          <cell r="H162">
            <v>2028.1</v>
          </cell>
          <cell r="I162">
            <v>2010.3</v>
          </cell>
          <cell r="J162">
            <v>200</v>
          </cell>
          <cell r="K162">
            <v>11540528</v>
          </cell>
          <cell r="L162">
            <v>116</v>
          </cell>
          <cell r="M162">
            <v>0</v>
          </cell>
          <cell r="N162">
            <v>1192930</v>
          </cell>
          <cell r="O162">
            <v>1502164</v>
          </cell>
          <cell r="P162">
            <v>551898</v>
          </cell>
          <cell r="Q162">
            <v>205385</v>
          </cell>
          <cell r="R162">
            <v>359629</v>
          </cell>
          <cell r="U162">
            <v>337799</v>
          </cell>
          <cell r="V162">
            <v>1.18</v>
          </cell>
          <cell r="W162">
            <v>1671914</v>
          </cell>
          <cell r="X162">
            <v>0.27400000000000002</v>
          </cell>
          <cell r="Y162">
            <v>0.249</v>
          </cell>
          <cell r="Z162">
            <v>556</v>
          </cell>
          <cell r="AA162">
            <v>198</v>
          </cell>
          <cell r="AB162">
            <v>0.37819999999999998</v>
          </cell>
          <cell r="AC162">
            <v>0</v>
          </cell>
          <cell r="AD162">
            <v>0.19</v>
          </cell>
        </row>
        <row r="163">
          <cell r="A163">
            <v>369</v>
          </cell>
          <cell r="B163" t="str">
            <v>369 - Burrton</v>
          </cell>
          <cell r="C163" t="str">
            <v>Harvey</v>
          </cell>
          <cell r="D163">
            <v>15808686</v>
          </cell>
          <cell r="E163">
            <v>14431026</v>
          </cell>
          <cell r="F163">
            <v>16033652</v>
          </cell>
          <cell r="G163">
            <v>14657224</v>
          </cell>
          <cell r="H163">
            <v>232.7</v>
          </cell>
          <cell r="I163">
            <v>237</v>
          </cell>
          <cell r="J163">
            <v>95</v>
          </cell>
          <cell r="K163">
            <v>2115350</v>
          </cell>
          <cell r="L163">
            <v>20</v>
          </cell>
          <cell r="M163">
            <v>0</v>
          </cell>
          <cell r="N163">
            <v>194756</v>
          </cell>
          <cell r="O163">
            <v>213268</v>
          </cell>
          <cell r="P163">
            <v>100912</v>
          </cell>
          <cell r="Q163">
            <v>38714</v>
          </cell>
          <cell r="R163">
            <v>67788</v>
          </cell>
          <cell r="U163">
            <v>52081</v>
          </cell>
          <cell r="V163">
            <v>0</v>
          </cell>
          <cell r="W163">
            <v>209309</v>
          </cell>
          <cell r="X163">
            <v>0.504</v>
          </cell>
          <cell r="Y163">
            <v>0.498</v>
          </cell>
          <cell r="Z163">
            <v>122</v>
          </cell>
          <cell r="AA163">
            <v>43</v>
          </cell>
          <cell r="AB163">
            <v>0.36559999999999998</v>
          </cell>
          <cell r="AC163">
            <v>0</v>
          </cell>
          <cell r="AD163">
            <v>0.18</v>
          </cell>
        </row>
        <row r="164">
          <cell r="A164">
            <v>371</v>
          </cell>
          <cell r="B164" t="str">
            <v>371 - Montezuma</v>
          </cell>
          <cell r="C164" t="str">
            <v>Gray</v>
          </cell>
          <cell r="D164">
            <v>14739111</v>
          </cell>
          <cell r="E164">
            <v>13514253</v>
          </cell>
          <cell r="F164">
            <v>15401194</v>
          </cell>
          <cell r="G164">
            <v>14159067</v>
          </cell>
          <cell r="H164">
            <v>226.8</v>
          </cell>
          <cell r="I164">
            <v>210.4</v>
          </cell>
          <cell r="J164">
            <v>200.8</v>
          </cell>
          <cell r="K164">
            <v>1902752</v>
          </cell>
          <cell r="L164">
            <v>10</v>
          </cell>
          <cell r="M164">
            <v>0</v>
          </cell>
          <cell r="N164">
            <v>125384</v>
          </cell>
          <cell r="O164">
            <v>126204</v>
          </cell>
          <cell r="P164">
            <v>102595</v>
          </cell>
          <cell r="Q164">
            <v>38094</v>
          </cell>
          <cell r="R164">
            <v>66702</v>
          </cell>
          <cell r="U164">
            <v>47306</v>
          </cell>
          <cell r="V164">
            <v>0</v>
          </cell>
          <cell r="W164">
            <v>157284</v>
          </cell>
          <cell r="X164">
            <v>0.19500000000000001</v>
          </cell>
          <cell r="Y164">
            <v>0.28799999999999998</v>
          </cell>
          <cell r="Z164">
            <v>45</v>
          </cell>
          <cell r="AA164">
            <v>42</v>
          </cell>
          <cell r="AB164">
            <v>0.31559999999999999</v>
          </cell>
          <cell r="AC164">
            <v>0</v>
          </cell>
          <cell r="AD164">
            <v>0.13</v>
          </cell>
        </row>
        <row r="165">
          <cell r="A165">
            <v>372</v>
          </cell>
          <cell r="B165" t="str">
            <v>372 - Silver Lake</v>
          </cell>
          <cell r="C165" t="str">
            <v>Shawnee</v>
          </cell>
          <cell r="D165">
            <v>28228919</v>
          </cell>
          <cell r="E165">
            <v>25460910</v>
          </cell>
          <cell r="F165">
            <v>28722463</v>
          </cell>
          <cell r="G165">
            <v>25951216</v>
          </cell>
          <cell r="H165">
            <v>735.4</v>
          </cell>
          <cell r="I165">
            <v>708.6</v>
          </cell>
          <cell r="J165">
            <v>94</v>
          </cell>
          <cell r="K165">
            <v>4840935</v>
          </cell>
          <cell r="L165">
            <v>21</v>
          </cell>
          <cell r="M165">
            <v>0</v>
          </cell>
          <cell r="N165">
            <v>539896</v>
          </cell>
          <cell r="O165">
            <v>520441</v>
          </cell>
          <cell r="P165">
            <v>236328</v>
          </cell>
          <cell r="Q165">
            <v>91337</v>
          </cell>
          <cell r="R165">
            <v>159931</v>
          </cell>
          <cell r="U165">
            <v>234944</v>
          </cell>
          <cell r="V165">
            <v>0</v>
          </cell>
          <cell r="W165">
            <v>620221</v>
          </cell>
          <cell r="X165">
            <v>0.123</v>
          </cell>
          <cell r="Y165">
            <v>0.14899999999999999</v>
          </cell>
          <cell r="Z165">
            <v>91</v>
          </cell>
          <cell r="AA165">
            <v>48</v>
          </cell>
          <cell r="AB165">
            <v>0.61460000000000004</v>
          </cell>
          <cell r="AC165">
            <v>0.24</v>
          </cell>
          <cell r="AD165">
            <v>0.44</v>
          </cell>
        </row>
        <row r="166">
          <cell r="A166">
            <v>373</v>
          </cell>
          <cell r="B166" t="str">
            <v>373 - Newton</v>
          </cell>
          <cell r="C166" t="str">
            <v>Harvey</v>
          </cell>
          <cell r="D166">
            <v>143389489</v>
          </cell>
          <cell r="E166">
            <v>125533219</v>
          </cell>
          <cell r="F166">
            <v>142139406</v>
          </cell>
          <cell r="G166">
            <v>124239279</v>
          </cell>
          <cell r="H166">
            <v>3373.6</v>
          </cell>
          <cell r="I166">
            <v>3310.1</v>
          </cell>
          <cell r="J166">
            <v>133.5</v>
          </cell>
          <cell r="K166">
            <v>20931061</v>
          </cell>
          <cell r="L166">
            <v>162</v>
          </cell>
          <cell r="M166">
            <v>0</v>
          </cell>
          <cell r="N166">
            <v>2625672</v>
          </cell>
          <cell r="O166">
            <v>2739395</v>
          </cell>
          <cell r="P166">
            <v>956178</v>
          </cell>
          <cell r="Q166">
            <v>363382</v>
          </cell>
          <cell r="R166">
            <v>636281</v>
          </cell>
          <cell r="U166">
            <v>832825</v>
          </cell>
          <cell r="V166">
            <v>0</v>
          </cell>
          <cell r="W166">
            <v>3030773</v>
          </cell>
          <cell r="X166">
            <v>0.44500000000000001</v>
          </cell>
          <cell r="Y166">
            <v>0.42599999999999999</v>
          </cell>
          <cell r="Z166">
            <v>1513</v>
          </cell>
          <cell r="AA166">
            <v>491</v>
          </cell>
          <cell r="AB166">
            <v>0.5958</v>
          </cell>
          <cell r="AC166">
            <v>0.22</v>
          </cell>
          <cell r="AD166">
            <v>0.42</v>
          </cell>
        </row>
        <row r="167">
          <cell r="A167">
            <v>374</v>
          </cell>
          <cell r="B167" t="str">
            <v>374 - Sublette</v>
          </cell>
          <cell r="C167" t="str">
            <v>Haskell</v>
          </cell>
          <cell r="D167">
            <v>124975235</v>
          </cell>
          <cell r="E167">
            <v>123082840</v>
          </cell>
          <cell r="F167">
            <v>104276005</v>
          </cell>
          <cell r="G167">
            <v>102360438</v>
          </cell>
          <cell r="H167">
            <v>460.6</v>
          </cell>
          <cell r="I167">
            <v>478.4</v>
          </cell>
          <cell r="J167">
            <v>355.5</v>
          </cell>
          <cell r="K167">
            <v>3971646</v>
          </cell>
          <cell r="L167">
            <v>11</v>
          </cell>
          <cell r="M167">
            <v>0</v>
          </cell>
          <cell r="N167">
            <v>237443</v>
          </cell>
          <cell r="O167">
            <v>239368</v>
          </cell>
          <cell r="P167">
            <v>190278</v>
          </cell>
          <cell r="Q167">
            <v>71235</v>
          </cell>
          <cell r="R167">
            <v>124535</v>
          </cell>
          <cell r="U167">
            <v>0</v>
          </cell>
          <cell r="V167">
            <v>0</v>
          </cell>
          <cell r="W167">
            <v>311042</v>
          </cell>
          <cell r="X167">
            <v>0.58799999999999997</v>
          </cell>
          <cell r="Y167">
            <v>0.48699999999999999</v>
          </cell>
          <cell r="Z167">
            <v>285</v>
          </cell>
          <cell r="AA167">
            <v>60</v>
          </cell>
          <cell r="AB167">
            <v>0</v>
          </cell>
          <cell r="AC167">
            <v>0</v>
          </cell>
          <cell r="AD167">
            <v>0</v>
          </cell>
        </row>
        <row r="168">
          <cell r="A168">
            <v>375</v>
          </cell>
          <cell r="B168" t="str">
            <v>375 - Circle</v>
          </cell>
          <cell r="C168" t="str">
            <v>Butler</v>
          </cell>
          <cell r="D168">
            <v>158980280</v>
          </cell>
          <cell r="E168">
            <v>151724379</v>
          </cell>
          <cell r="F168">
            <v>158439092</v>
          </cell>
          <cell r="G168">
            <v>151075482</v>
          </cell>
          <cell r="H168">
            <v>1611.2</v>
          </cell>
          <cell r="I168">
            <v>1735.6</v>
          </cell>
          <cell r="J168">
            <v>175</v>
          </cell>
          <cell r="K168">
            <v>9901161</v>
          </cell>
          <cell r="L168">
            <v>130</v>
          </cell>
          <cell r="M168">
            <v>0</v>
          </cell>
          <cell r="N168">
            <v>1084836</v>
          </cell>
          <cell r="O168">
            <v>1205990</v>
          </cell>
          <cell r="P168">
            <v>427546</v>
          </cell>
          <cell r="Q168">
            <v>164569</v>
          </cell>
          <cell r="R168">
            <v>288160</v>
          </cell>
          <cell r="U168">
            <v>55036</v>
          </cell>
          <cell r="V168">
            <v>0</v>
          </cell>
          <cell r="W168">
            <v>1237181</v>
          </cell>
          <cell r="X168">
            <v>0.189</v>
          </cell>
          <cell r="Y168">
            <v>0.2</v>
          </cell>
          <cell r="Z168">
            <v>328</v>
          </cell>
          <cell r="AA168">
            <v>151</v>
          </cell>
          <cell r="AB168">
            <v>0.13089999999999999</v>
          </cell>
          <cell r="AC168">
            <v>0</v>
          </cell>
          <cell r="AD168">
            <v>0</v>
          </cell>
        </row>
        <row r="169">
          <cell r="A169">
            <v>376</v>
          </cell>
          <cell r="B169" t="str">
            <v>376 - Sterling</v>
          </cell>
          <cell r="C169" t="str">
            <v>Rice</v>
          </cell>
          <cell r="D169">
            <v>23905224</v>
          </cell>
          <cell r="E169">
            <v>21371927</v>
          </cell>
          <cell r="F169">
            <v>22169673</v>
          </cell>
          <cell r="G169">
            <v>19625514</v>
          </cell>
          <cell r="H169">
            <v>525.5</v>
          </cell>
          <cell r="I169">
            <v>518.70000000000005</v>
          </cell>
          <cell r="J169">
            <v>158</v>
          </cell>
          <cell r="K169">
            <v>4181881</v>
          </cell>
          <cell r="L169">
            <v>30</v>
          </cell>
          <cell r="M169">
            <v>0</v>
          </cell>
          <cell r="N169">
            <v>556582</v>
          </cell>
          <cell r="O169">
            <v>576370</v>
          </cell>
          <cell r="P169">
            <v>192202</v>
          </cell>
          <cell r="Q169">
            <v>70276</v>
          </cell>
          <cell r="R169">
            <v>123054</v>
          </cell>
          <cell r="U169">
            <v>186357</v>
          </cell>
          <cell r="V169">
            <v>0</v>
          </cell>
          <cell r="W169">
            <v>610570</v>
          </cell>
          <cell r="X169">
            <v>0.26200000000000001</v>
          </cell>
          <cell r="Y169">
            <v>0.318</v>
          </cell>
          <cell r="Z169">
            <v>139</v>
          </cell>
          <cell r="AA169">
            <v>68</v>
          </cell>
          <cell r="AB169">
            <v>0.60099999999999998</v>
          </cell>
          <cell r="AC169">
            <v>0.22</v>
          </cell>
          <cell r="AD169">
            <v>0.42</v>
          </cell>
        </row>
        <row r="170">
          <cell r="A170">
            <v>377</v>
          </cell>
          <cell r="B170" t="str">
            <v>377 - Atchison County</v>
          </cell>
          <cell r="C170" t="str">
            <v>Atchison</v>
          </cell>
          <cell r="D170">
            <v>39824555</v>
          </cell>
          <cell r="E170">
            <v>35664268</v>
          </cell>
          <cell r="F170">
            <v>40643311</v>
          </cell>
          <cell r="G170">
            <v>36481584</v>
          </cell>
          <cell r="H170">
            <v>655.6</v>
          </cell>
          <cell r="I170">
            <v>624.6</v>
          </cell>
          <cell r="J170">
            <v>350</v>
          </cell>
          <cell r="K170">
            <v>5232667</v>
          </cell>
          <cell r="L170">
            <v>33</v>
          </cell>
          <cell r="M170">
            <v>0</v>
          </cell>
          <cell r="N170">
            <v>756593</v>
          </cell>
          <cell r="O170">
            <v>838129</v>
          </cell>
          <cell r="P170">
            <v>248070</v>
          </cell>
          <cell r="Q170">
            <v>93793</v>
          </cell>
          <cell r="R170">
            <v>164232</v>
          </cell>
          <cell r="U170">
            <v>193471</v>
          </cell>
          <cell r="V170">
            <v>0</v>
          </cell>
          <cell r="W170">
            <v>870652</v>
          </cell>
          <cell r="X170">
            <v>0.36</v>
          </cell>
          <cell r="Y170">
            <v>0.379</v>
          </cell>
          <cell r="Z170">
            <v>238</v>
          </cell>
          <cell r="AA170">
            <v>82</v>
          </cell>
          <cell r="AB170">
            <v>0.41760000000000003</v>
          </cell>
          <cell r="AC170">
            <v>0.03</v>
          </cell>
          <cell r="AD170">
            <v>0.23</v>
          </cell>
        </row>
        <row r="171">
          <cell r="A171">
            <v>378</v>
          </cell>
          <cell r="B171" t="str">
            <v>378 - Riley County</v>
          </cell>
          <cell r="C171" t="str">
            <v>Riley</v>
          </cell>
          <cell r="D171">
            <v>34217047</v>
          </cell>
          <cell r="E171">
            <v>30675155</v>
          </cell>
          <cell r="F171">
            <v>35452717</v>
          </cell>
          <cell r="G171">
            <v>31876653</v>
          </cell>
          <cell r="H171">
            <v>698.5</v>
          </cell>
          <cell r="I171">
            <v>675.6</v>
          </cell>
          <cell r="J171">
            <v>160</v>
          </cell>
          <cell r="K171">
            <v>4963770</v>
          </cell>
          <cell r="L171">
            <v>48</v>
          </cell>
          <cell r="M171">
            <v>0</v>
          </cell>
          <cell r="N171">
            <v>642050</v>
          </cell>
          <cell r="O171">
            <v>693136</v>
          </cell>
          <cell r="P171">
            <v>227669</v>
          </cell>
          <cell r="Q171">
            <v>88776</v>
          </cell>
          <cell r="R171">
            <v>155446</v>
          </cell>
          <cell r="U171">
            <v>184373</v>
          </cell>
          <cell r="V171">
            <v>0</v>
          </cell>
          <cell r="W171">
            <v>682551</v>
          </cell>
          <cell r="X171">
            <v>0.152</v>
          </cell>
          <cell r="Y171">
            <v>0.17199999999999999</v>
          </cell>
          <cell r="Z171">
            <v>106</v>
          </cell>
          <cell r="AA171">
            <v>113</v>
          </cell>
          <cell r="AB171">
            <v>0.4965</v>
          </cell>
          <cell r="AC171">
            <v>0.11</v>
          </cell>
          <cell r="AD171">
            <v>0.31</v>
          </cell>
        </row>
        <row r="172">
          <cell r="A172">
            <v>379</v>
          </cell>
          <cell r="B172" t="str">
            <v>379 - Clay Center</v>
          </cell>
          <cell r="C172" t="str">
            <v>Clay</v>
          </cell>
          <cell r="D172">
            <v>67469990</v>
          </cell>
          <cell r="E172">
            <v>59579106</v>
          </cell>
          <cell r="F172">
            <v>68315633</v>
          </cell>
          <cell r="G172">
            <v>60398388</v>
          </cell>
          <cell r="H172">
            <v>1359.3</v>
          </cell>
          <cell r="I172">
            <v>1332.5</v>
          </cell>
          <cell r="J172">
            <v>632.5</v>
          </cell>
          <cell r="K172">
            <v>8377542</v>
          </cell>
          <cell r="L172">
            <v>72</v>
          </cell>
          <cell r="M172">
            <v>0</v>
          </cell>
          <cell r="N172">
            <v>1108897</v>
          </cell>
          <cell r="O172">
            <v>1170071</v>
          </cell>
          <cell r="P172">
            <v>398901</v>
          </cell>
          <cell r="Q172">
            <v>149259</v>
          </cell>
          <cell r="R172">
            <v>261352</v>
          </cell>
          <cell r="U172">
            <v>324627</v>
          </cell>
          <cell r="V172">
            <v>0</v>
          </cell>
          <cell r="W172">
            <v>1199396</v>
          </cell>
          <cell r="X172">
            <v>0.26300000000000001</v>
          </cell>
          <cell r="Y172">
            <v>0.253</v>
          </cell>
          <cell r="Z172">
            <v>357</v>
          </cell>
          <cell r="AA172">
            <v>197</v>
          </cell>
          <cell r="AB172">
            <v>0.53710000000000002</v>
          </cell>
          <cell r="AC172">
            <v>0.16</v>
          </cell>
          <cell r="AD172">
            <v>0.36</v>
          </cell>
        </row>
        <row r="173">
          <cell r="A173">
            <v>380</v>
          </cell>
          <cell r="B173" t="str">
            <v>380 - Vermillon</v>
          </cell>
          <cell r="C173" t="str">
            <v>Marshall</v>
          </cell>
          <cell r="D173">
            <v>22259980</v>
          </cell>
          <cell r="E173">
            <v>19709180</v>
          </cell>
          <cell r="F173">
            <v>22819921</v>
          </cell>
          <cell r="G173">
            <v>20253037</v>
          </cell>
          <cell r="H173">
            <v>523.6</v>
          </cell>
          <cell r="I173">
            <v>505.3</v>
          </cell>
          <cell r="J173">
            <v>402</v>
          </cell>
          <cell r="K173">
            <v>3888969</v>
          </cell>
          <cell r="L173">
            <v>5</v>
          </cell>
          <cell r="M173">
            <v>0</v>
          </cell>
          <cell r="N173">
            <v>338834</v>
          </cell>
          <cell r="O173">
            <v>386118</v>
          </cell>
          <cell r="P173">
            <v>192158</v>
          </cell>
          <cell r="Q173">
            <v>72145</v>
          </cell>
          <cell r="R173">
            <v>126326</v>
          </cell>
          <cell r="U173">
            <v>145995</v>
          </cell>
          <cell r="V173">
            <v>0</v>
          </cell>
          <cell r="W173">
            <v>381367</v>
          </cell>
          <cell r="X173">
            <v>0.246</v>
          </cell>
          <cell r="Y173">
            <v>0.26300000000000001</v>
          </cell>
          <cell r="Z173">
            <v>131</v>
          </cell>
          <cell r="AA173">
            <v>66</v>
          </cell>
          <cell r="AB173">
            <v>0.58089999999999997</v>
          </cell>
          <cell r="AC173">
            <v>0.2</v>
          </cell>
          <cell r="AD173">
            <v>0.4</v>
          </cell>
        </row>
        <row r="174">
          <cell r="A174">
            <v>381</v>
          </cell>
          <cell r="B174" t="str">
            <v>381 - Spearville</v>
          </cell>
          <cell r="C174" t="str">
            <v>Ford</v>
          </cell>
          <cell r="D174">
            <v>16870206</v>
          </cell>
          <cell r="E174">
            <v>15818236</v>
          </cell>
          <cell r="F174">
            <v>17142442</v>
          </cell>
          <cell r="G174">
            <v>16090610</v>
          </cell>
          <cell r="H174">
            <v>358</v>
          </cell>
          <cell r="I174">
            <v>362</v>
          </cell>
          <cell r="J174">
            <v>182</v>
          </cell>
          <cell r="K174">
            <v>2557082</v>
          </cell>
          <cell r="L174">
            <v>12</v>
          </cell>
          <cell r="M174">
            <v>0</v>
          </cell>
          <cell r="N174">
            <v>247954</v>
          </cell>
          <cell r="O174">
            <v>257239</v>
          </cell>
          <cell r="P174">
            <v>123084</v>
          </cell>
          <cell r="Q174">
            <v>46333</v>
          </cell>
          <cell r="R174">
            <v>81129</v>
          </cell>
          <cell r="U174">
            <v>97718</v>
          </cell>
          <cell r="V174">
            <v>0</v>
          </cell>
          <cell r="W174">
            <v>294126</v>
          </cell>
          <cell r="X174">
            <v>0.16900000000000001</v>
          </cell>
          <cell r="Y174">
            <v>0.16200000000000001</v>
          </cell>
          <cell r="Z174">
            <v>61</v>
          </cell>
          <cell r="AA174">
            <v>32</v>
          </cell>
          <cell r="AB174">
            <v>0.54569999999999996</v>
          </cell>
          <cell r="AC174">
            <v>0.17</v>
          </cell>
          <cell r="AD174">
            <v>0.37</v>
          </cell>
        </row>
        <row r="175">
          <cell r="A175">
            <v>382</v>
          </cell>
          <cell r="B175" t="str">
            <v>382 - Pratt</v>
          </cell>
          <cell r="C175" t="str">
            <v>Pratt</v>
          </cell>
          <cell r="D175">
            <v>84486926</v>
          </cell>
          <cell r="E175">
            <v>76969161</v>
          </cell>
          <cell r="F175">
            <v>88027689</v>
          </cell>
          <cell r="G175">
            <v>80471539</v>
          </cell>
          <cell r="H175">
            <v>1110.7</v>
          </cell>
          <cell r="I175">
            <v>1072.0999999999999</v>
          </cell>
          <cell r="J175">
            <v>266.5</v>
          </cell>
          <cell r="K175">
            <v>7334237</v>
          </cell>
          <cell r="L175">
            <v>61</v>
          </cell>
          <cell r="M175">
            <v>0</v>
          </cell>
          <cell r="N175">
            <v>994789</v>
          </cell>
          <cell r="O175">
            <v>1136293</v>
          </cell>
          <cell r="P175">
            <v>353814</v>
          </cell>
          <cell r="Q175">
            <v>130985</v>
          </cell>
          <cell r="R175">
            <v>229355</v>
          </cell>
          <cell r="U175">
            <v>231034</v>
          </cell>
          <cell r="V175">
            <v>0</v>
          </cell>
          <cell r="W175">
            <v>1113369</v>
          </cell>
          <cell r="X175">
            <v>0.33</v>
          </cell>
          <cell r="Y175">
            <v>0.30299999999999999</v>
          </cell>
          <cell r="Z175">
            <v>369</v>
          </cell>
          <cell r="AA175">
            <v>130</v>
          </cell>
          <cell r="AB175">
            <v>0.3009</v>
          </cell>
          <cell r="AC175">
            <v>0</v>
          </cell>
          <cell r="AD175">
            <v>0.11</v>
          </cell>
        </row>
        <row r="176">
          <cell r="A176">
            <v>383</v>
          </cell>
          <cell r="B176" t="str">
            <v>383 - Manhattan</v>
          </cell>
          <cell r="C176" t="str">
            <v>Riley</v>
          </cell>
          <cell r="D176">
            <v>519831267</v>
          </cell>
          <cell r="E176">
            <v>485558535</v>
          </cell>
          <cell r="F176">
            <v>525631202</v>
          </cell>
          <cell r="G176">
            <v>490945484</v>
          </cell>
          <cell r="H176">
            <v>5623</v>
          </cell>
          <cell r="I176">
            <v>5672.6</v>
          </cell>
          <cell r="J176">
            <v>163</v>
          </cell>
          <cell r="K176">
            <v>34923159</v>
          </cell>
          <cell r="L176">
            <v>340</v>
          </cell>
          <cell r="M176">
            <v>1</v>
          </cell>
          <cell r="N176">
            <v>5418695</v>
          </cell>
          <cell r="O176">
            <v>5586572</v>
          </cell>
          <cell r="P176">
            <v>1551524</v>
          </cell>
          <cell r="Q176">
            <v>600193</v>
          </cell>
          <cell r="R176">
            <v>1050936</v>
          </cell>
          <cell r="U176">
            <v>384396</v>
          </cell>
          <cell r="V176">
            <v>2.16</v>
          </cell>
          <cell r="W176">
            <v>5959414</v>
          </cell>
          <cell r="X176">
            <v>0.27100000000000002</v>
          </cell>
          <cell r="Y176">
            <v>0.26300000000000001</v>
          </cell>
          <cell r="Z176">
            <v>1556</v>
          </cell>
          <cell r="AA176">
            <v>726</v>
          </cell>
          <cell r="AB176">
            <v>0.1575</v>
          </cell>
          <cell r="AC176">
            <v>0</v>
          </cell>
          <cell r="AD176">
            <v>0</v>
          </cell>
        </row>
        <row r="177">
          <cell r="A177">
            <v>384</v>
          </cell>
          <cell r="B177" t="str">
            <v>384 - Blue Valley</v>
          </cell>
          <cell r="C177" t="str">
            <v>Riley</v>
          </cell>
          <cell r="D177">
            <v>15958654</v>
          </cell>
          <cell r="E177">
            <v>14081749</v>
          </cell>
          <cell r="F177">
            <v>16446257</v>
          </cell>
          <cell r="G177">
            <v>14552629</v>
          </cell>
          <cell r="H177">
            <v>211</v>
          </cell>
          <cell r="I177">
            <v>212.2</v>
          </cell>
          <cell r="J177">
            <v>319</v>
          </cell>
          <cell r="K177">
            <v>1994878</v>
          </cell>
          <cell r="L177">
            <v>19</v>
          </cell>
          <cell r="M177">
            <v>0</v>
          </cell>
          <cell r="N177">
            <v>252048</v>
          </cell>
          <cell r="O177">
            <v>289182</v>
          </cell>
          <cell r="P177">
            <v>91772</v>
          </cell>
          <cell r="Q177">
            <v>35106</v>
          </cell>
          <cell r="R177">
            <v>61471</v>
          </cell>
          <cell r="U177">
            <v>33077</v>
          </cell>
          <cell r="V177">
            <v>0</v>
          </cell>
          <cell r="W177">
            <v>285953</v>
          </cell>
          <cell r="X177">
            <v>0.186</v>
          </cell>
          <cell r="Y177">
            <v>0.19800000000000001</v>
          </cell>
          <cell r="Z177">
            <v>40</v>
          </cell>
          <cell r="AA177">
            <v>37</v>
          </cell>
          <cell r="AB177">
            <v>0.2651</v>
          </cell>
          <cell r="AC177">
            <v>0</v>
          </cell>
          <cell r="AD177">
            <v>7.0000000000000007E-2</v>
          </cell>
        </row>
        <row r="178">
          <cell r="A178">
            <v>385</v>
          </cell>
          <cell r="B178" t="str">
            <v>385 - Andover</v>
          </cell>
          <cell r="C178" t="str">
            <v>Butler</v>
          </cell>
          <cell r="D178">
            <v>263153506</v>
          </cell>
          <cell r="E178">
            <v>245638867</v>
          </cell>
          <cell r="F178">
            <v>271372475</v>
          </cell>
          <cell r="G178">
            <v>246237786</v>
          </cell>
          <cell r="H178">
            <v>4656.1000000000004</v>
          </cell>
          <cell r="I178">
            <v>4776.3</v>
          </cell>
          <cell r="J178">
            <v>46.8</v>
          </cell>
          <cell r="K178">
            <v>25347981</v>
          </cell>
          <cell r="L178">
            <v>145</v>
          </cell>
          <cell r="M178">
            <v>0</v>
          </cell>
          <cell r="N178">
            <v>2917067</v>
          </cell>
          <cell r="O178">
            <v>3019676</v>
          </cell>
          <cell r="P178">
            <v>1187761</v>
          </cell>
          <cell r="Q178">
            <v>448735</v>
          </cell>
          <cell r="R178">
            <v>785734</v>
          </cell>
          <cell r="U178">
            <v>918948</v>
          </cell>
          <cell r="V178">
            <v>5</v>
          </cell>
          <cell r="W178">
            <v>3115951</v>
          </cell>
          <cell r="X178">
            <v>0.107</v>
          </cell>
          <cell r="Y178">
            <v>0.107</v>
          </cell>
          <cell r="Z178">
            <v>513</v>
          </cell>
          <cell r="AA178">
            <v>275</v>
          </cell>
          <cell r="AB178">
            <v>0.47370000000000001</v>
          </cell>
          <cell r="AC178">
            <v>0.09</v>
          </cell>
          <cell r="AD178">
            <v>0.28999999999999998</v>
          </cell>
        </row>
        <row r="179">
          <cell r="A179">
            <v>386</v>
          </cell>
          <cell r="B179" t="str">
            <v>386 - Madison-Virgil</v>
          </cell>
          <cell r="C179" t="str">
            <v>Greenwood</v>
          </cell>
          <cell r="D179">
            <v>12913598</v>
          </cell>
          <cell r="E179">
            <v>11479483</v>
          </cell>
          <cell r="F179">
            <v>13372666</v>
          </cell>
          <cell r="G179">
            <v>11942169</v>
          </cell>
          <cell r="H179">
            <v>228.2</v>
          </cell>
          <cell r="I179">
            <v>236.1</v>
          </cell>
          <cell r="J179">
            <v>253</v>
          </cell>
          <cell r="K179">
            <v>2042122</v>
          </cell>
          <cell r="L179">
            <v>16</v>
          </cell>
          <cell r="M179">
            <v>0</v>
          </cell>
          <cell r="N179">
            <v>217313</v>
          </cell>
          <cell r="O179">
            <v>203790</v>
          </cell>
          <cell r="P179">
            <v>96167</v>
          </cell>
          <cell r="Q179">
            <v>36314</v>
          </cell>
          <cell r="R179">
            <v>63586</v>
          </cell>
          <cell r="U179">
            <v>57624</v>
          </cell>
          <cell r="V179">
            <v>0</v>
          </cell>
          <cell r="W179">
            <v>254392</v>
          </cell>
          <cell r="X179">
            <v>0.36699999999999999</v>
          </cell>
          <cell r="Y179">
            <v>0.34799999999999998</v>
          </cell>
          <cell r="Z179">
            <v>88</v>
          </cell>
          <cell r="AA179">
            <v>35</v>
          </cell>
          <cell r="AB179">
            <v>0.46560000000000001</v>
          </cell>
          <cell r="AC179">
            <v>0.08</v>
          </cell>
          <cell r="AD179">
            <v>0.28000000000000003</v>
          </cell>
        </row>
        <row r="180">
          <cell r="A180">
            <v>387</v>
          </cell>
          <cell r="B180" t="str">
            <v>387 - Altoona-Midway</v>
          </cell>
          <cell r="C180" t="str">
            <v>Wilson</v>
          </cell>
          <cell r="D180">
            <v>29183694</v>
          </cell>
          <cell r="E180">
            <v>27501622</v>
          </cell>
          <cell r="F180">
            <v>19539832</v>
          </cell>
          <cell r="G180">
            <v>17853471</v>
          </cell>
          <cell r="H180">
            <v>180.2</v>
          </cell>
          <cell r="I180">
            <v>173</v>
          </cell>
          <cell r="J180">
            <v>192</v>
          </cell>
          <cell r="K180">
            <v>1871650</v>
          </cell>
          <cell r="L180">
            <v>18</v>
          </cell>
          <cell r="M180">
            <v>0</v>
          </cell>
          <cell r="N180">
            <v>204348</v>
          </cell>
          <cell r="O180">
            <v>220631</v>
          </cell>
          <cell r="P180">
            <v>95030</v>
          </cell>
          <cell r="Q180">
            <v>34446</v>
          </cell>
          <cell r="R180">
            <v>60314</v>
          </cell>
          <cell r="U180">
            <v>0</v>
          </cell>
          <cell r="V180">
            <v>0</v>
          </cell>
          <cell r="W180">
            <v>266166</v>
          </cell>
          <cell r="X180">
            <v>0.54300000000000004</v>
          </cell>
          <cell r="Y180">
            <v>0.52200000000000002</v>
          </cell>
          <cell r="Z180">
            <v>100</v>
          </cell>
          <cell r="AA180">
            <v>29</v>
          </cell>
          <cell r="AB180">
            <v>0</v>
          </cell>
          <cell r="AC180">
            <v>0</v>
          </cell>
          <cell r="AD180">
            <v>0</v>
          </cell>
        </row>
        <row r="181">
          <cell r="A181">
            <v>388</v>
          </cell>
          <cell r="B181" t="str">
            <v>388 - Ellis</v>
          </cell>
          <cell r="C181" t="str">
            <v>Ellis</v>
          </cell>
          <cell r="D181">
            <v>30472398</v>
          </cell>
          <cell r="E181">
            <v>27947124</v>
          </cell>
          <cell r="F181">
            <v>35627821</v>
          </cell>
          <cell r="G181">
            <v>33095085</v>
          </cell>
          <cell r="H181">
            <v>392.6</v>
          </cell>
          <cell r="I181">
            <v>396.5</v>
          </cell>
          <cell r="J181">
            <v>280.5</v>
          </cell>
          <cell r="K181">
            <v>2923616</v>
          </cell>
          <cell r="L181">
            <v>28</v>
          </cell>
          <cell r="M181">
            <v>0</v>
          </cell>
          <cell r="N181">
            <v>325268</v>
          </cell>
          <cell r="O181">
            <v>343327</v>
          </cell>
          <cell r="P181">
            <v>129294</v>
          </cell>
          <cell r="Q181">
            <v>52067</v>
          </cell>
          <cell r="R181">
            <v>91169</v>
          </cell>
          <cell r="U181">
            <v>0</v>
          </cell>
          <cell r="V181">
            <v>0</v>
          </cell>
          <cell r="W181">
            <v>382482</v>
          </cell>
          <cell r="X181">
            <v>0.25</v>
          </cell>
          <cell r="Y181">
            <v>0.245</v>
          </cell>
          <cell r="Z181">
            <v>99</v>
          </cell>
          <cell r="AA181">
            <v>54</v>
          </cell>
          <cell r="AB181">
            <v>0.13789999999999999</v>
          </cell>
          <cell r="AC181">
            <v>0</v>
          </cell>
          <cell r="AD181">
            <v>0</v>
          </cell>
        </row>
        <row r="182">
          <cell r="A182">
            <v>389</v>
          </cell>
          <cell r="B182" t="str">
            <v>389 - Eureka</v>
          </cell>
          <cell r="C182" t="str">
            <v>Greenwood</v>
          </cell>
          <cell r="D182">
            <v>27597286</v>
          </cell>
          <cell r="E182">
            <v>22478185</v>
          </cell>
          <cell r="F182">
            <v>27534449</v>
          </cell>
          <cell r="G182">
            <v>22402796</v>
          </cell>
          <cell r="H182">
            <v>595.5</v>
          </cell>
          <cell r="I182">
            <v>608.9</v>
          </cell>
          <cell r="J182">
            <v>580</v>
          </cell>
          <cell r="K182">
            <v>4957077</v>
          </cell>
          <cell r="L182">
            <v>16</v>
          </cell>
          <cell r="M182">
            <v>0</v>
          </cell>
          <cell r="N182">
            <v>479884</v>
          </cell>
          <cell r="O182">
            <v>560917</v>
          </cell>
          <cell r="P182">
            <v>228543</v>
          </cell>
          <cell r="Q182">
            <v>85933</v>
          </cell>
          <cell r="R182">
            <v>150468</v>
          </cell>
          <cell r="U182">
            <v>188505</v>
          </cell>
          <cell r="V182">
            <v>0</v>
          </cell>
          <cell r="W182">
            <v>562510</v>
          </cell>
          <cell r="X182">
            <v>0.53500000000000003</v>
          </cell>
          <cell r="Y182">
            <v>0.48099999999999998</v>
          </cell>
          <cell r="Z182">
            <v>334</v>
          </cell>
          <cell r="AA182">
            <v>74</v>
          </cell>
          <cell r="AB182">
            <v>0.57679999999999998</v>
          </cell>
          <cell r="AC182">
            <v>0.2</v>
          </cell>
          <cell r="AD182">
            <v>0.4</v>
          </cell>
        </row>
        <row r="183">
          <cell r="A183">
            <v>390</v>
          </cell>
          <cell r="B183" t="str">
            <v>390 - Hamilton</v>
          </cell>
          <cell r="C183" t="str">
            <v>Greenwood</v>
          </cell>
          <cell r="D183">
            <v>7048025</v>
          </cell>
          <cell r="E183">
            <v>6482211</v>
          </cell>
          <cell r="F183">
            <v>7647736</v>
          </cell>
          <cell r="G183">
            <v>7076766</v>
          </cell>
          <cell r="H183">
            <v>92</v>
          </cell>
          <cell r="I183">
            <v>89.5</v>
          </cell>
          <cell r="J183">
            <v>210</v>
          </cell>
          <cell r="K183">
            <v>1001967</v>
          </cell>
          <cell r="L183">
            <v>5</v>
          </cell>
          <cell r="M183">
            <v>0</v>
          </cell>
          <cell r="N183">
            <v>112454</v>
          </cell>
          <cell r="O183">
            <v>120531</v>
          </cell>
          <cell r="P183">
            <v>54556</v>
          </cell>
          <cell r="Q183">
            <v>19675</v>
          </cell>
          <cell r="R183">
            <v>34451</v>
          </cell>
          <cell r="U183">
            <v>10775</v>
          </cell>
          <cell r="V183">
            <v>0</v>
          </cell>
          <cell r="W183">
            <v>135051</v>
          </cell>
          <cell r="X183">
            <v>0.437</v>
          </cell>
          <cell r="Y183">
            <v>0.52</v>
          </cell>
          <cell r="Z183">
            <v>41</v>
          </cell>
          <cell r="AA183">
            <v>22</v>
          </cell>
          <cell r="AB183">
            <v>0.1847</v>
          </cell>
          <cell r="AC183">
            <v>0</v>
          </cell>
          <cell r="AD183">
            <v>0</v>
          </cell>
        </row>
        <row r="184">
          <cell r="A184">
            <v>392</v>
          </cell>
          <cell r="B184" t="str">
            <v>392 - Osborne</v>
          </cell>
          <cell r="C184" t="str">
            <v>Osborne</v>
          </cell>
          <cell r="D184">
            <v>16438675</v>
          </cell>
          <cell r="E184">
            <v>14455347</v>
          </cell>
          <cell r="F184">
            <v>17014597</v>
          </cell>
          <cell r="G184">
            <v>15013073</v>
          </cell>
          <cell r="H184">
            <v>331.9</v>
          </cell>
          <cell r="I184">
            <v>310.8</v>
          </cell>
          <cell r="J184">
            <v>511</v>
          </cell>
          <cell r="K184">
            <v>2797632</v>
          </cell>
          <cell r="L184">
            <v>9</v>
          </cell>
          <cell r="M184">
            <v>0</v>
          </cell>
          <cell r="N184">
            <v>346836</v>
          </cell>
          <cell r="O184">
            <v>379258</v>
          </cell>
          <cell r="P184">
            <v>131939</v>
          </cell>
          <cell r="Q184">
            <v>49667</v>
          </cell>
          <cell r="R184">
            <v>86967</v>
          </cell>
          <cell r="U184">
            <v>99976</v>
          </cell>
          <cell r="V184">
            <v>0</v>
          </cell>
          <cell r="W184">
            <v>395888</v>
          </cell>
          <cell r="X184">
            <v>0.5</v>
          </cell>
          <cell r="Y184">
            <v>0.48599999999999999</v>
          </cell>
          <cell r="Z184">
            <v>166</v>
          </cell>
          <cell r="AA184">
            <v>34</v>
          </cell>
          <cell r="AB184">
            <v>0.4768</v>
          </cell>
          <cell r="AC184">
            <v>0.09</v>
          </cell>
          <cell r="AD184">
            <v>0.28999999999999998</v>
          </cell>
        </row>
        <row r="185">
          <cell r="A185">
            <v>393</v>
          </cell>
          <cell r="B185" t="str">
            <v>393 - Solomon</v>
          </cell>
          <cell r="C185" t="str">
            <v>Dickinson</v>
          </cell>
          <cell r="D185">
            <v>20444993</v>
          </cell>
          <cell r="E185">
            <v>18628954</v>
          </cell>
          <cell r="F185">
            <v>20917784</v>
          </cell>
          <cell r="G185">
            <v>19085677</v>
          </cell>
          <cell r="H185">
            <v>369</v>
          </cell>
          <cell r="I185">
            <v>348.7</v>
          </cell>
          <cell r="J185">
            <v>187.5</v>
          </cell>
          <cell r="K185">
            <v>2779128</v>
          </cell>
          <cell r="L185">
            <v>45</v>
          </cell>
          <cell r="M185">
            <v>0</v>
          </cell>
          <cell r="N185">
            <v>308333</v>
          </cell>
          <cell r="O185">
            <v>319994</v>
          </cell>
          <cell r="P185">
            <v>147574</v>
          </cell>
          <cell r="Q185">
            <v>53428</v>
          </cell>
          <cell r="R185">
            <v>93553</v>
          </cell>
          <cell r="U185">
            <v>73125</v>
          </cell>
          <cell r="V185">
            <v>0</v>
          </cell>
          <cell r="W185">
            <v>363948</v>
          </cell>
          <cell r="X185">
            <v>0.26800000000000002</v>
          </cell>
          <cell r="Y185">
            <v>0.28699999999999998</v>
          </cell>
          <cell r="Z185">
            <v>99</v>
          </cell>
          <cell r="AA185">
            <v>74</v>
          </cell>
          <cell r="AB185">
            <v>0.42449999999999999</v>
          </cell>
          <cell r="AC185">
            <v>0.04</v>
          </cell>
          <cell r="AD185">
            <v>0.24</v>
          </cell>
        </row>
        <row r="186">
          <cell r="A186">
            <v>394</v>
          </cell>
          <cell r="B186" t="str">
            <v>394 - Rose Hill</v>
          </cell>
          <cell r="C186" t="str">
            <v>Butler</v>
          </cell>
          <cell r="D186">
            <v>57694088</v>
          </cell>
          <cell r="E186">
            <v>51175672</v>
          </cell>
          <cell r="F186">
            <v>57927484</v>
          </cell>
          <cell r="G186">
            <v>51367852</v>
          </cell>
          <cell r="H186">
            <v>1715.2</v>
          </cell>
          <cell r="I186">
            <v>1700.4</v>
          </cell>
          <cell r="J186">
            <v>55</v>
          </cell>
          <cell r="K186">
            <v>9442895</v>
          </cell>
          <cell r="L186">
            <v>128</v>
          </cell>
          <cell r="M186">
            <v>0</v>
          </cell>
          <cell r="N186">
            <v>1171457</v>
          </cell>
          <cell r="O186">
            <v>1295964</v>
          </cell>
          <cell r="P186">
            <v>456868</v>
          </cell>
          <cell r="Q186">
            <v>171294</v>
          </cell>
          <cell r="R186">
            <v>299935</v>
          </cell>
          <cell r="U186">
            <v>489421</v>
          </cell>
          <cell r="V186">
            <v>0.05</v>
          </cell>
          <cell r="W186">
            <v>1297380</v>
          </cell>
          <cell r="X186">
            <v>0.21099999999999999</v>
          </cell>
          <cell r="Y186">
            <v>0.17899999999999999</v>
          </cell>
          <cell r="Z186">
            <v>365</v>
          </cell>
          <cell r="AA186">
            <v>146</v>
          </cell>
          <cell r="AB186">
            <v>0.67869999999999997</v>
          </cell>
          <cell r="AC186">
            <v>0.3</v>
          </cell>
          <cell r="AD186">
            <v>0.5</v>
          </cell>
        </row>
        <row r="187">
          <cell r="A187">
            <v>395</v>
          </cell>
          <cell r="B187" t="str">
            <v>395 - LaCrosse</v>
          </cell>
          <cell r="C187" t="str">
            <v>Rush</v>
          </cell>
          <cell r="D187">
            <v>20377543</v>
          </cell>
          <cell r="E187">
            <v>18041076</v>
          </cell>
          <cell r="F187">
            <v>20666971</v>
          </cell>
          <cell r="G187">
            <v>18367455</v>
          </cell>
          <cell r="H187">
            <v>294.5</v>
          </cell>
          <cell r="I187">
            <v>293</v>
          </cell>
          <cell r="J187">
            <v>486</v>
          </cell>
          <cell r="K187">
            <v>2397633</v>
          </cell>
          <cell r="L187">
            <v>10</v>
          </cell>
          <cell r="M187">
            <v>0</v>
          </cell>
          <cell r="N187">
            <v>289083</v>
          </cell>
          <cell r="O187">
            <v>286747</v>
          </cell>
          <cell r="P187">
            <v>115737</v>
          </cell>
          <cell r="Q187">
            <v>43651</v>
          </cell>
          <cell r="R187">
            <v>76433</v>
          </cell>
          <cell r="U187">
            <v>39590</v>
          </cell>
          <cell r="V187">
            <v>0</v>
          </cell>
          <cell r="W187">
            <v>365920</v>
          </cell>
          <cell r="X187">
            <v>0.39200000000000002</v>
          </cell>
          <cell r="Y187">
            <v>0.40699999999999997</v>
          </cell>
          <cell r="Z187">
            <v>116</v>
          </cell>
          <cell r="AA187">
            <v>44</v>
          </cell>
          <cell r="AB187">
            <v>0.32329999999999998</v>
          </cell>
          <cell r="AC187">
            <v>0</v>
          </cell>
          <cell r="AD187">
            <v>0.13</v>
          </cell>
        </row>
        <row r="188">
          <cell r="A188">
            <v>396</v>
          </cell>
          <cell r="B188" t="str">
            <v>396 - Douglass</v>
          </cell>
          <cell r="C188" t="str">
            <v>Butler</v>
          </cell>
          <cell r="D188">
            <v>24163581</v>
          </cell>
          <cell r="E188">
            <v>21061396</v>
          </cell>
          <cell r="F188">
            <v>24990572</v>
          </cell>
          <cell r="G188">
            <v>21884138</v>
          </cell>
          <cell r="H188">
            <v>722.3</v>
          </cell>
          <cell r="I188">
            <v>700.5</v>
          </cell>
          <cell r="J188">
            <v>125</v>
          </cell>
          <cell r="K188">
            <v>5252180</v>
          </cell>
          <cell r="L188">
            <v>72</v>
          </cell>
          <cell r="M188">
            <v>0</v>
          </cell>
          <cell r="N188">
            <v>676381</v>
          </cell>
          <cell r="O188">
            <v>760806</v>
          </cell>
          <cell r="P188">
            <v>259899</v>
          </cell>
          <cell r="Q188">
            <v>95219</v>
          </cell>
          <cell r="R188">
            <v>166728</v>
          </cell>
          <cell r="U188">
            <v>286901</v>
          </cell>
          <cell r="V188">
            <v>0</v>
          </cell>
          <cell r="W188">
            <v>745599</v>
          </cell>
          <cell r="X188">
            <v>0.23200000000000001</v>
          </cell>
          <cell r="Y188">
            <v>0.217</v>
          </cell>
          <cell r="Z188">
            <v>171</v>
          </cell>
          <cell r="AA188">
            <v>69</v>
          </cell>
          <cell r="AB188">
            <v>0.66930000000000001</v>
          </cell>
          <cell r="AC188">
            <v>0.28999999999999998</v>
          </cell>
          <cell r="AD188">
            <v>0.49</v>
          </cell>
        </row>
        <row r="189">
          <cell r="A189">
            <v>397</v>
          </cell>
          <cell r="B189" t="str">
            <v>397 - Centre</v>
          </cell>
          <cell r="C189" t="str">
            <v>Marion</v>
          </cell>
          <cell r="D189">
            <v>18176405</v>
          </cell>
          <cell r="E189">
            <v>16704115</v>
          </cell>
          <cell r="F189">
            <v>19103067</v>
          </cell>
          <cell r="G189">
            <v>17629552</v>
          </cell>
          <cell r="H189">
            <v>244</v>
          </cell>
          <cell r="I189">
            <v>243.5</v>
          </cell>
          <cell r="J189">
            <v>400</v>
          </cell>
          <cell r="K189">
            <v>2349602</v>
          </cell>
          <cell r="L189">
            <v>11</v>
          </cell>
          <cell r="M189">
            <v>0</v>
          </cell>
          <cell r="N189">
            <v>253607</v>
          </cell>
          <cell r="O189">
            <v>292718</v>
          </cell>
          <cell r="P189">
            <v>106247</v>
          </cell>
          <cell r="Q189">
            <v>40446</v>
          </cell>
          <cell r="R189">
            <v>70820</v>
          </cell>
          <cell r="U189">
            <v>25582</v>
          </cell>
          <cell r="V189">
            <v>0</v>
          </cell>
          <cell r="W189">
            <v>311503</v>
          </cell>
          <cell r="X189">
            <v>0.33600000000000002</v>
          </cell>
          <cell r="Y189">
            <v>0.32500000000000001</v>
          </cell>
          <cell r="Z189">
            <v>82</v>
          </cell>
          <cell r="AA189">
            <v>42</v>
          </cell>
          <cell r="AB189">
            <v>0.31390000000000001</v>
          </cell>
          <cell r="AC189">
            <v>0</v>
          </cell>
          <cell r="AD189">
            <v>0.12</v>
          </cell>
        </row>
        <row r="190">
          <cell r="A190">
            <v>398</v>
          </cell>
          <cell r="B190" t="str">
            <v>398 - Peabody-Burns</v>
          </cell>
          <cell r="C190" t="str">
            <v>Marion</v>
          </cell>
          <cell r="D190">
            <v>20619927</v>
          </cell>
          <cell r="E190">
            <v>18435993</v>
          </cell>
          <cell r="F190">
            <v>21896517</v>
          </cell>
          <cell r="G190">
            <v>19715898</v>
          </cell>
          <cell r="H190">
            <v>320.7</v>
          </cell>
          <cell r="I190">
            <v>301.5</v>
          </cell>
          <cell r="J190">
            <v>235</v>
          </cell>
          <cell r="K190">
            <v>2678341</v>
          </cell>
          <cell r="L190">
            <v>26</v>
          </cell>
          <cell r="M190">
            <v>0</v>
          </cell>
          <cell r="N190">
            <v>361437</v>
          </cell>
          <cell r="O190">
            <v>386115</v>
          </cell>
          <cell r="P190">
            <v>134520</v>
          </cell>
          <cell r="Q190">
            <v>50118</v>
          </cell>
          <cell r="R190">
            <v>87757</v>
          </cell>
          <cell r="U190">
            <v>58214</v>
          </cell>
          <cell r="V190">
            <v>0</v>
          </cell>
          <cell r="W190">
            <v>429491</v>
          </cell>
          <cell r="X190">
            <v>0.40500000000000003</v>
          </cell>
          <cell r="Y190">
            <v>0.45900000000000002</v>
          </cell>
          <cell r="Z190">
            <v>131</v>
          </cell>
          <cell r="AA190">
            <v>59</v>
          </cell>
          <cell r="AB190">
            <v>0.31440000000000001</v>
          </cell>
          <cell r="AC190">
            <v>0</v>
          </cell>
          <cell r="AD190">
            <v>0.12</v>
          </cell>
        </row>
        <row r="191">
          <cell r="A191">
            <v>399</v>
          </cell>
          <cell r="B191" t="str">
            <v>399 - Paradise</v>
          </cell>
          <cell r="C191" t="str">
            <v>Russell</v>
          </cell>
          <cell r="D191">
            <v>24329925</v>
          </cell>
          <cell r="E191">
            <v>23672234</v>
          </cell>
          <cell r="F191">
            <v>30789462</v>
          </cell>
          <cell r="G191">
            <v>30116870</v>
          </cell>
          <cell r="H191">
            <v>118.8</v>
          </cell>
          <cell r="I191">
            <v>146.5</v>
          </cell>
          <cell r="J191">
            <v>439</v>
          </cell>
          <cell r="K191">
            <v>1416139</v>
          </cell>
          <cell r="L191">
            <v>13</v>
          </cell>
          <cell r="M191">
            <v>0</v>
          </cell>
          <cell r="N191">
            <v>129819</v>
          </cell>
          <cell r="O191">
            <v>130933</v>
          </cell>
          <cell r="P191">
            <v>68572</v>
          </cell>
          <cell r="Q191">
            <v>23219</v>
          </cell>
          <cell r="R191">
            <v>40656</v>
          </cell>
          <cell r="U191">
            <v>0</v>
          </cell>
          <cell r="V191">
            <v>0</v>
          </cell>
          <cell r="W191">
            <v>173570</v>
          </cell>
          <cell r="X191">
            <v>0.29499999999999998</v>
          </cell>
          <cell r="Y191">
            <v>0.216</v>
          </cell>
          <cell r="Z191">
            <v>44</v>
          </cell>
          <cell r="AA191">
            <v>38</v>
          </cell>
          <cell r="AB191">
            <v>0</v>
          </cell>
          <cell r="AC191">
            <v>0</v>
          </cell>
          <cell r="AD191">
            <v>0</v>
          </cell>
        </row>
        <row r="192">
          <cell r="A192">
            <v>400</v>
          </cell>
          <cell r="B192" t="str">
            <v>400 - Smoky Valley</v>
          </cell>
          <cell r="C192" t="str">
            <v>McPherson</v>
          </cell>
          <cell r="D192">
            <v>53264674</v>
          </cell>
          <cell r="E192">
            <v>47472205</v>
          </cell>
          <cell r="F192">
            <v>53722320</v>
          </cell>
          <cell r="G192">
            <v>47897454</v>
          </cell>
          <cell r="H192">
            <v>954.7</v>
          </cell>
          <cell r="I192">
            <v>914.8</v>
          </cell>
          <cell r="J192">
            <v>395.5</v>
          </cell>
          <cell r="K192">
            <v>6679121</v>
          </cell>
          <cell r="L192">
            <v>56</v>
          </cell>
          <cell r="M192">
            <v>0</v>
          </cell>
          <cell r="N192">
            <v>910898</v>
          </cell>
          <cell r="O192">
            <v>1017639</v>
          </cell>
          <cell r="P192">
            <v>320752</v>
          </cell>
          <cell r="Q192">
            <v>116891</v>
          </cell>
          <cell r="R192">
            <v>204676</v>
          </cell>
          <cell r="U192">
            <v>243744</v>
          </cell>
          <cell r="V192">
            <v>0</v>
          </cell>
          <cell r="W192">
            <v>934526</v>
          </cell>
          <cell r="X192">
            <v>0.20599999999999999</v>
          </cell>
          <cell r="Y192">
            <v>0.20899999999999999</v>
          </cell>
          <cell r="Z192">
            <v>199</v>
          </cell>
          <cell r="AA192">
            <v>129</v>
          </cell>
          <cell r="AB192">
            <v>0.46139999999999998</v>
          </cell>
          <cell r="AC192">
            <v>0.08</v>
          </cell>
          <cell r="AD192">
            <v>0.28000000000000003</v>
          </cell>
        </row>
        <row r="193">
          <cell r="A193">
            <v>401</v>
          </cell>
          <cell r="B193" t="str">
            <v>401 - Chase</v>
          </cell>
          <cell r="C193" t="str">
            <v>Rice</v>
          </cell>
          <cell r="D193">
            <v>17312442</v>
          </cell>
          <cell r="E193">
            <v>16562197</v>
          </cell>
          <cell r="F193">
            <v>18510664</v>
          </cell>
          <cell r="G193">
            <v>17761086</v>
          </cell>
          <cell r="H193">
            <v>134.5</v>
          </cell>
          <cell r="I193">
            <v>144.30000000000001</v>
          </cell>
          <cell r="J193">
            <v>196</v>
          </cell>
          <cell r="K193">
            <v>1481887</v>
          </cell>
          <cell r="L193">
            <v>11</v>
          </cell>
          <cell r="M193">
            <v>0</v>
          </cell>
          <cell r="N193">
            <v>140190</v>
          </cell>
          <cell r="O193">
            <v>146990</v>
          </cell>
          <cell r="P193">
            <v>69425</v>
          </cell>
          <cell r="Q193">
            <v>26521</v>
          </cell>
          <cell r="R193">
            <v>46438</v>
          </cell>
          <cell r="U193">
            <v>0</v>
          </cell>
          <cell r="V193">
            <v>0</v>
          </cell>
          <cell r="W193">
            <v>145015</v>
          </cell>
          <cell r="X193">
            <v>0.61699999999999999</v>
          </cell>
          <cell r="Y193">
            <v>0.59799999999999998</v>
          </cell>
          <cell r="Z193">
            <v>90</v>
          </cell>
          <cell r="AA193">
            <v>25</v>
          </cell>
          <cell r="AB193">
            <v>0</v>
          </cell>
          <cell r="AC193">
            <v>0</v>
          </cell>
          <cell r="AD193">
            <v>0</v>
          </cell>
        </row>
        <row r="194">
          <cell r="A194">
            <v>402</v>
          </cell>
          <cell r="B194" t="str">
            <v>402 - Augusta</v>
          </cell>
          <cell r="C194" t="str">
            <v>Butler</v>
          </cell>
          <cell r="D194">
            <v>79216165</v>
          </cell>
          <cell r="E194">
            <v>69248315</v>
          </cell>
          <cell r="F194">
            <v>76572216</v>
          </cell>
          <cell r="G194">
            <v>74027409</v>
          </cell>
          <cell r="H194">
            <v>2164.5</v>
          </cell>
          <cell r="I194">
            <v>2128.5</v>
          </cell>
          <cell r="J194">
            <v>69.5</v>
          </cell>
          <cell r="K194">
            <v>12174779</v>
          </cell>
          <cell r="L194">
            <v>54</v>
          </cell>
          <cell r="M194">
            <v>0</v>
          </cell>
          <cell r="N194">
            <v>1507370</v>
          </cell>
          <cell r="O194">
            <v>1620388</v>
          </cell>
          <cell r="P194">
            <v>568188</v>
          </cell>
          <cell r="Q194">
            <v>214840</v>
          </cell>
          <cell r="R194">
            <v>376184</v>
          </cell>
          <cell r="U194">
            <v>593172</v>
          </cell>
          <cell r="V194">
            <v>0</v>
          </cell>
          <cell r="W194">
            <v>1657128</v>
          </cell>
          <cell r="X194">
            <v>0.30399999999999999</v>
          </cell>
          <cell r="Y194">
            <v>0.27400000000000002</v>
          </cell>
          <cell r="Z194">
            <v>663</v>
          </cell>
          <cell r="AA194">
            <v>209</v>
          </cell>
          <cell r="AB194">
            <v>0.65890000000000004</v>
          </cell>
          <cell r="AC194">
            <v>0.28000000000000003</v>
          </cell>
          <cell r="AD194">
            <v>0.48</v>
          </cell>
        </row>
        <row r="195">
          <cell r="A195">
            <v>403</v>
          </cell>
          <cell r="B195" t="str">
            <v>403 - Otis-Bison</v>
          </cell>
          <cell r="C195" t="str">
            <v>Rush</v>
          </cell>
          <cell r="D195">
            <v>18488518</v>
          </cell>
          <cell r="E195">
            <v>17033818</v>
          </cell>
          <cell r="F195">
            <v>22562755</v>
          </cell>
          <cell r="G195">
            <v>21116132</v>
          </cell>
          <cell r="H195">
            <v>177</v>
          </cell>
          <cell r="I195">
            <v>179</v>
          </cell>
          <cell r="J195">
            <v>339.5</v>
          </cell>
          <cell r="K195">
            <v>1760626</v>
          </cell>
          <cell r="L195">
            <v>19</v>
          </cell>
          <cell r="M195">
            <v>0</v>
          </cell>
          <cell r="N195">
            <v>214869</v>
          </cell>
          <cell r="O195">
            <v>222480</v>
          </cell>
          <cell r="P195">
            <v>84446</v>
          </cell>
          <cell r="Q195">
            <v>31176</v>
          </cell>
          <cell r="R195">
            <v>54589</v>
          </cell>
          <cell r="U195">
            <v>0</v>
          </cell>
          <cell r="V195">
            <v>0</v>
          </cell>
          <cell r="W195">
            <v>252027</v>
          </cell>
          <cell r="X195">
            <v>0.307</v>
          </cell>
          <cell r="Y195">
            <v>0.29199999999999998</v>
          </cell>
          <cell r="Z195">
            <v>55</v>
          </cell>
          <cell r="AA195">
            <v>14</v>
          </cell>
          <cell r="AB195">
            <v>0</v>
          </cell>
          <cell r="AC195">
            <v>0</v>
          </cell>
          <cell r="AD195">
            <v>0</v>
          </cell>
        </row>
        <row r="196">
          <cell r="A196">
            <v>404</v>
          </cell>
          <cell r="B196" t="str">
            <v>404 - Riverton</v>
          </cell>
          <cell r="C196" t="str">
            <v>Cherokee</v>
          </cell>
          <cell r="D196">
            <v>29027453</v>
          </cell>
          <cell r="E196">
            <v>25672938</v>
          </cell>
          <cell r="F196">
            <v>29095975</v>
          </cell>
          <cell r="G196">
            <v>25743268</v>
          </cell>
          <cell r="H196">
            <v>785.5</v>
          </cell>
          <cell r="I196">
            <v>758</v>
          </cell>
          <cell r="J196">
            <v>60</v>
          </cell>
          <cell r="K196">
            <v>5720855</v>
          </cell>
          <cell r="L196">
            <v>78</v>
          </cell>
          <cell r="M196">
            <v>0</v>
          </cell>
          <cell r="N196">
            <v>608523</v>
          </cell>
          <cell r="O196">
            <v>612326</v>
          </cell>
          <cell r="P196">
            <v>288675</v>
          </cell>
          <cell r="Q196">
            <v>108201</v>
          </cell>
          <cell r="R196">
            <v>189460</v>
          </cell>
          <cell r="U196">
            <v>303034</v>
          </cell>
          <cell r="V196">
            <v>0</v>
          </cell>
          <cell r="W196">
            <v>675003</v>
          </cell>
          <cell r="X196">
            <v>0.438</v>
          </cell>
          <cell r="Y196">
            <v>0.42499999999999999</v>
          </cell>
          <cell r="Z196">
            <v>348</v>
          </cell>
          <cell r="AA196">
            <v>113</v>
          </cell>
          <cell r="AB196">
            <v>0.6351</v>
          </cell>
          <cell r="AC196">
            <v>0.26</v>
          </cell>
          <cell r="AD196">
            <v>0.46</v>
          </cell>
        </row>
        <row r="197">
          <cell r="A197">
            <v>405</v>
          </cell>
          <cell r="B197" t="str">
            <v>405 - Lyons</v>
          </cell>
          <cell r="C197" t="str">
            <v>Rice</v>
          </cell>
          <cell r="D197">
            <v>35672943</v>
          </cell>
          <cell r="E197">
            <v>32111597</v>
          </cell>
          <cell r="F197">
            <v>37018239</v>
          </cell>
          <cell r="G197">
            <v>33445111</v>
          </cell>
          <cell r="H197">
            <v>777</v>
          </cell>
          <cell r="I197">
            <v>772.1</v>
          </cell>
          <cell r="J197">
            <v>116</v>
          </cell>
          <cell r="K197">
            <v>6163374</v>
          </cell>
          <cell r="L197">
            <v>20</v>
          </cell>
          <cell r="M197">
            <v>0</v>
          </cell>
          <cell r="N197">
            <v>736176</v>
          </cell>
          <cell r="O197">
            <v>808214</v>
          </cell>
          <cell r="P197">
            <v>299695</v>
          </cell>
          <cell r="Q197">
            <v>111036</v>
          </cell>
          <cell r="R197">
            <v>194424</v>
          </cell>
          <cell r="U197">
            <v>227590</v>
          </cell>
          <cell r="V197">
            <v>0</v>
          </cell>
          <cell r="W197">
            <v>845087</v>
          </cell>
          <cell r="X197">
            <v>0.58599999999999997</v>
          </cell>
          <cell r="Y197">
            <v>0.59299999999999997</v>
          </cell>
          <cell r="Z197">
            <v>463</v>
          </cell>
          <cell r="AA197">
            <v>87</v>
          </cell>
          <cell r="AB197">
            <v>0.55289999999999995</v>
          </cell>
          <cell r="AC197">
            <v>0.17</v>
          </cell>
          <cell r="AD197">
            <v>0.37</v>
          </cell>
        </row>
        <row r="198">
          <cell r="A198">
            <v>407</v>
          </cell>
          <cell r="B198" t="str">
            <v xml:space="preserve">407 - Russell </v>
          </cell>
          <cell r="C198" t="str">
            <v>Russell</v>
          </cell>
          <cell r="D198">
            <v>73151723</v>
          </cell>
          <cell r="E198">
            <v>66621283</v>
          </cell>
          <cell r="F198">
            <v>71635637</v>
          </cell>
          <cell r="G198">
            <v>65948270</v>
          </cell>
          <cell r="H198">
            <v>944.6</v>
          </cell>
          <cell r="I198">
            <v>819.7</v>
          </cell>
          <cell r="J198">
            <v>489</v>
          </cell>
          <cell r="K198">
            <v>6296838</v>
          </cell>
          <cell r="L198">
            <v>39</v>
          </cell>
          <cell r="M198">
            <v>0</v>
          </cell>
          <cell r="N198">
            <v>705860</v>
          </cell>
          <cell r="O198">
            <v>721034</v>
          </cell>
          <cell r="P198">
            <v>308267</v>
          </cell>
          <cell r="Q198">
            <v>118478</v>
          </cell>
          <cell r="R198">
            <v>207454</v>
          </cell>
          <cell r="U198">
            <v>94468</v>
          </cell>
          <cell r="V198">
            <v>0</v>
          </cell>
          <cell r="W198">
            <v>833131</v>
          </cell>
          <cell r="X198">
            <v>0.34200000000000003</v>
          </cell>
          <cell r="Y198">
            <v>0.40100000000000002</v>
          </cell>
          <cell r="Z198">
            <v>323</v>
          </cell>
          <cell r="AA198">
            <v>120</v>
          </cell>
          <cell r="AB198">
            <v>0.17949999999999999</v>
          </cell>
          <cell r="AC198">
            <v>0</v>
          </cell>
          <cell r="AD198">
            <v>0</v>
          </cell>
        </row>
        <row r="199">
          <cell r="A199">
            <v>408</v>
          </cell>
          <cell r="B199" t="str">
            <v>408 - Marion</v>
          </cell>
          <cell r="C199" t="str">
            <v>Marion</v>
          </cell>
          <cell r="D199">
            <v>28973538</v>
          </cell>
          <cell r="E199">
            <v>25037046</v>
          </cell>
          <cell r="F199">
            <v>30732458</v>
          </cell>
          <cell r="G199">
            <v>26806683</v>
          </cell>
          <cell r="H199">
            <v>579.5</v>
          </cell>
          <cell r="I199">
            <v>563.29999999999995</v>
          </cell>
          <cell r="J199">
            <v>237</v>
          </cell>
          <cell r="K199">
            <v>4397235</v>
          </cell>
          <cell r="L199">
            <v>42</v>
          </cell>
          <cell r="M199">
            <v>0</v>
          </cell>
          <cell r="N199">
            <v>648202</v>
          </cell>
          <cell r="O199">
            <v>670599</v>
          </cell>
          <cell r="P199">
            <v>211685</v>
          </cell>
          <cell r="Q199">
            <v>77533</v>
          </cell>
          <cell r="R199">
            <v>135760</v>
          </cell>
          <cell r="U199">
            <v>126737</v>
          </cell>
          <cell r="V199">
            <v>0</v>
          </cell>
          <cell r="W199">
            <v>733262</v>
          </cell>
          <cell r="X199">
            <v>0.31</v>
          </cell>
          <cell r="Y199">
            <v>0.27800000000000002</v>
          </cell>
          <cell r="Z199">
            <v>180</v>
          </cell>
          <cell r="AA199">
            <v>76</v>
          </cell>
          <cell r="AB199">
            <v>0.48849999999999999</v>
          </cell>
          <cell r="AC199">
            <v>0.11</v>
          </cell>
          <cell r="AD199">
            <v>0.31</v>
          </cell>
        </row>
        <row r="200">
          <cell r="A200">
            <v>409</v>
          </cell>
          <cell r="B200" t="str">
            <v>409 - Atchison</v>
          </cell>
          <cell r="C200" t="str">
            <v>Atchison</v>
          </cell>
          <cell r="D200">
            <v>81486496</v>
          </cell>
          <cell r="E200">
            <v>71874866</v>
          </cell>
          <cell r="F200">
            <v>82831555</v>
          </cell>
          <cell r="G200">
            <v>73209402</v>
          </cell>
          <cell r="H200">
            <v>1641</v>
          </cell>
          <cell r="I200">
            <v>1618.4</v>
          </cell>
          <cell r="J200">
            <v>52.7</v>
          </cell>
          <cell r="K200">
            <v>11104702</v>
          </cell>
          <cell r="L200">
            <v>78</v>
          </cell>
          <cell r="M200">
            <v>0</v>
          </cell>
          <cell r="N200">
            <v>1543207</v>
          </cell>
          <cell r="O200">
            <v>1703192</v>
          </cell>
          <cell r="P200">
            <v>467692</v>
          </cell>
          <cell r="Q200">
            <v>191009</v>
          </cell>
          <cell r="R200">
            <v>334457</v>
          </cell>
          <cell r="U200">
            <v>405428</v>
          </cell>
          <cell r="V200">
            <v>0</v>
          </cell>
          <cell r="W200">
            <v>1734681</v>
          </cell>
          <cell r="X200">
            <v>0.53900000000000003</v>
          </cell>
          <cell r="Y200">
            <v>0.51500000000000001</v>
          </cell>
          <cell r="Z200">
            <v>934</v>
          </cell>
          <cell r="AA200">
            <v>194</v>
          </cell>
          <cell r="AB200">
            <v>0.56399999999999995</v>
          </cell>
          <cell r="AC200">
            <v>0.18</v>
          </cell>
          <cell r="AD200">
            <v>0.38</v>
          </cell>
        </row>
        <row r="201">
          <cell r="A201">
            <v>410</v>
          </cell>
          <cell r="B201" t="str">
            <v>410 - Durham-Hills</v>
          </cell>
          <cell r="C201" t="str">
            <v>Marion</v>
          </cell>
          <cell r="D201">
            <v>32037142</v>
          </cell>
          <cell r="E201">
            <v>28413053</v>
          </cell>
          <cell r="F201">
            <v>32833690</v>
          </cell>
          <cell r="G201">
            <v>29207694</v>
          </cell>
          <cell r="H201">
            <v>582.6</v>
          </cell>
          <cell r="I201">
            <v>557</v>
          </cell>
          <cell r="J201">
            <v>231.8</v>
          </cell>
          <cell r="K201">
            <v>4428338</v>
          </cell>
          <cell r="L201">
            <v>21</v>
          </cell>
          <cell r="M201">
            <v>0</v>
          </cell>
          <cell r="N201">
            <v>649385</v>
          </cell>
          <cell r="O201">
            <v>685369</v>
          </cell>
          <cell r="P201">
            <v>212472</v>
          </cell>
          <cell r="Q201">
            <v>77501</v>
          </cell>
          <cell r="R201">
            <v>135703</v>
          </cell>
          <cell r="U201">
            <v>171582</v>
          </cell>
          <cell r="V201">
            <v>0</v>
          </cell>
          <cell r="W201">
            <v>785523</v>
          </cell>
          <cell r="X201">
            <v>0.27600000000000002</v>
          </cell>
          <cell r="Y201">
            <v>0.249</v>
          </cell>
          <cell r="Z201">
            <v>162</v>
          </cell>
          <cell r="AA201">
            <v>68</v>
          </cell>
          <cell r="AB201">
            <v>0.4486</v>
          </cell>
          <cell r="AC201">
            <v>0.06</v>
          </cell>
          <cell r="AD201">
            <v>0.26</v>
          </cell>
        </row>
        <row r="202">
          <cell r="A202">
            <v>411</v>
          </cell>
          <cell r="B202" t="str">
            <v>411 - Goessel</v>
          </cell>
          <cell r="C202" t="str">
            <v>Marion</v>
          </cell>
          <cell r="D202">
            <v>11822847</v>
          </cell>
          <cell r="E202">
            <v>10477725</v>
          </cell>
          <cell r="F202">
            <v>11875118</v>
          </cell>
          <cell r="G202">
            <v>10521370</v>
          </cell>
          <cell r="H202">
            <v>257.5</v>
          </cell>
          <cell r="I202">
            <v>248.5</v>
          </cell>
          <cell r="J202">
            <v>111.2</v>
          </cell>
          <cell r="K202">
            <v>2135823</v>
          </cell>
          <cell r="L202">
            <v>17</v>
          </cell>
          <cell r="M202">
            <v>0</v>
          </cell>
          <cell r="N202">
            <v>272365</v>
          </cell>
          <cell r="O202">
            <v>299454</v>
          </cell>
          <cell r="P202">
            <v>99949</v>
          </cell>
          <cell r="Q202">
            <v>38062</v>
          </cell>
          <cell r="R202">
            <v>66646</v>
          </cell>
          <cell r="U202">
            <v>82144</v>
          </cell>
          <cell r="V202">
            <v>0</v>
          </cell>
          <cell r="W202">
            <v>323216</v>
          </cell>
          <cell r="X202">
            <v>0.19400000000000001</v>
          </cell>
          <cell r="Y202">
            <v>0.20200000000000001</v>
          </cell>
          <cell r="Z202">
            <v>50</v>
          </cell>
          <cell r="AA202">
            <v>35</v>
          </cell>
          <cell r="AB202">
            <v>0.54510000000000003</v>
          </cell>
          <cell r="AC202">
            <v>0.17</v>
          </cell>
          <cell r="AD202">
            <v>0.37</v>
          </cell>
        </row>
        <row r="203">
          <cell r="A203">
            <v>412</v>
          </cell>
          <cell r="B203" t="str">
            <v>412 - Hoxie</v>
          </cell>
          <cell r="C203" t="str">
            <v>Sheridan</v>
          </cell>
          <cell r="D203">
            <v>28500256</v>
          </cell>
          <cell r="E203">
            <v>26338009</v>
          </cell>
          <cell r="F203">
            <v>29776080</v>
          </cell>
          <cell r="G203">
            <v>27604856</v>
          </cell>
          <cell r="H203">
            <v>286</v>
          </cell>
          <cell r="I203">
            <v>305.5</v>
          </cell>
          <cell r="J203">
            <v>674</v>
          </cell>
          <cell r="K203">
            <v>2388972</v>
          </cell>
          <cell r="L203">
            <v>40</v>
          </cell>
          <cell r="M203">
            <v>0</v>
          </cell>
          <cell r="N203">
            <v>297632</v>
          </cell>
          <cell r="O203">
            <v>344200</v>
          </cell>
          <cell r="P203">
            <v>110489</v>
          </cell>
          <cell r="Q203">
            <v>41380</v>
          </cell>
          <cell r="R203">
            <v>72456</v>
          </cell>
          <cell r="U203">
            <v>5627</v>
          </cell>
          <cell r="V203">
            <v>0</v>
          </cell>
          <cell r="W203">
            <v>373688</v>
          </cell>
          <cell r="X203">
            <v>0.193</v>
          </cell>
          <cell r="Y203">
            <v>0.22900000000000001</v>
          </cell>
          <cell r="Z203">
            <v>59</v>
          </cell>
          <cell r="AA203">
            <v>38</v>
          </cell>
          <cell r="AB203">
            <v>6.4899999999999999E-2</v>
          </cell>
          <cell r="AC203">
            <v>0</v>
          </cell>
          <cell r="AD203">
            <v>0</v>
          </cell>
        </row>
        <row r="204">
          <cell r="A204">
            <v>413</v>
          </cell>
          <cell r="B204" t="str">
            <v>413 - Chanute</v>
          </cell>
          <cell r="C204" t="str">
            <v>Neosho</v>
          </cell>
          <cell r="D204">
            <v>65516207</v>
          </cell>
          <cell r="E204">
            <v>55591266</v>
          </cell>
          <cell r="F204">
            <v>60388250</v>
          </cell>
          <cell r="G204">
            <v>50478101</v>
          </cell>
          <cell r="H204">
            <v>1794.9</v>
          </cell>
          <cell r="I204">
            <v>1833.5</v>
          </cell>
          <cell r="J204">
            <v>125</v>
          </cell>
          <cell r="K204">
            <v>12230684</v>
          </cell>
          <cell r="L204">
            <v>88</v>
          </cell>
          <cell r="M204">
            <v>0</v>
          </cell>
          <cell r="N204">
            <v>1928950</v>
          </cell>
          <cell r="O204">
            <v>2020354</v>
          </cell>
          <cell r="P204">
            <v>594515</v>
          </cell>
          <cell r="Q204">
            <v>226284</v>
          </cell>
          <cell r="R204">
            <v>396223</v>
          </cell>
          <cell r="U204">
            <v>639797</v>
          </cell>
          <cell r="V204">
            <v>0</v>
          </cell>
          <cell r="W204">
            <v>2137449</v>
          </cell>
          <cell r="X204">
            <v>0.50900000000000001</v>
          </cell>
          <cell r="Y204">
            <v>0.47499999999999998</v>
          </cell>
          <cell r="Z204">
            <v>941</v>
          </cell>
          <cell r="AA204">
            <v>246</v>
          </cell>
          <cell r="AB204">
            <v>0.68689999999999996</v>
          </cell>
          <cell r="AC204">
            <v>0.31</v>
          </cell>
          <cell r="AD204">
            <v>0.51</v>
          </cell>
        </row>
        <row r="205">
          <cell r="A205">
            <v>415</v>
          </cell>
          <cell r="B205" t="str">
            <v>415 - Hiawatha</v>
          </cell>
          <cell r="C205" t="str">
            <v>Brown</v>
          </cell>
          <cell r="D205">
            <v>67061331</v>
          </cell>
          <cell r="E205">
            <v>61535319</v>
          </cell>
          <cell r="F205">
            <v>78080232</v>
          </cell>
          <cell r="G205">
            <v>72572332</v>
          </cell>
          <cell r="H205">
            <v>835.9</v>
          </cell>
          <cell r="I205">
            <v>841.8</v>
          </cell>
          <cell r="J205">
            <v>331</v>
          </cell>
          <cell r="K205">
            <v>6120067</v>
          </cell>
          <cell r="L205">
            <v>32</v>
          </cell>
          <cell r="M205">
            <v>0</v>
          </cell>
          <cell r="N205">
            <v>839891</v>
          </cell>
          <cell r="O205">
            <v>863333</v>
          </cell>
          <cell r="P205">
            <v>298580</v>
          </cell>
          <cell r="Q205">
            <v>109103</v>
          </cell>
          <cell r="R205">
            <v>191040</v>
          </cell>
          <cell r="U205">
            <v>134136</v>
          </cell>
          <cell r="V205">
            <v>0</v>
          </cell>
          <cell r="W205">
            <v>976775</v>
          </cell>
          <cell r="X205">
            <v>0.39900000000000002</v>
          </cell>
          <cell r="Y205">
            <v>0.39500000000000002</v>
          </cell>
          <cell r="Z205">
            <v>336</v>
          </cell>
          <cell r="AA205">
            <v>99</v>
          </cell>
          <cell r="AB205">
            <v>0.1206</v>
          </cell>
          <cell r="AC205">
            <v>0</v>
          </cell>
          <cell r="AD205">
            <v>0</v>
          </cell>
        </row>
        <row r="206">
          <cell r="A206">
            <v>416</v>
          </cell>
          <cell r="B206" t="str">
            <v>416 - Louisburg</v>
          </cell>
          <cell r="C206" t="str">
            <v>Miami</v>
          </cell>
          <cell r="D206">
            <v>119280467</v>
          </cell>
          <cell r="E206">
            <v>111676676</v>
          </cell>
          <cell r="F206">
            <v>117333508</v>
          </cell>
          <cell r="G206">
            <v>109716921</v>
          </cell>
          <cell r="H206">
            <v>1673.5</v>
          </cell>
          <cell r="I206">
            <v>1652.8</v>
          </cell>
          <cell r="J206">
            <v>156</v>
          </cell>
          <cell r="K206">
            <v>9235415</v>
          </cell>
          <cell r="L206">
            <v>40</v>
          </cell>
          <cell r="M206">
            <v>0</v>
          </cell>
          <cell r="N206">
            <v>1216470</v>
          </cell>
          <cell r="O206">
            <v>1309057</v>
          </cell>
          <cell r="P206">
            <v>443902</v>
          </cell>
          <cell r="Q206">
            <v>167605</v>
          </cell>
          <cell r="R206">
            <v>293476</v>
          </cell>
          <cell r="U206">
            <v>225045</v>
          </cell>
          <cell r="V206">
            <v>3.46</v>
          </cell>
          <cell r="W206">
            <v>1237349</v>
          </cell>
          <cell r="X206">
            <v>0.17100000000000001</v>
          </cell>
          <cell r="Y206">
            <v>0.13900000000000001</v>
          </cell>
          <cell r="Z206">
            <v>286</v>
          </cell>
          <cell r="AA206">
            <v>127</v>
          </cell>
          <cell r="AB206">
            <v>0.31900000000000001</v>
          </cell>
          <cell r="AC206">
            <v>0</v>
          </cell>
          <cell r="AD206">
            <v>0.13</v>
          </cell>
        </row>
        <row r="207">
          <cell r="A207">
            <v>417</v>
          </cell>
          <cell r="B207" t="str">
            <v>417 - Morris County</v>
          </cell>
          <cell r="C207" t="str">
            <v>Morris</v>
          </cell>
          <cell r="D207">
            <v>53776565</v>
          </cell>
          <cell r="E207">
            <v>47955370</v>
          </cell>
          <cell r="F207">
            <v>54216930</v>
          </cell>
          <cell r="G207">
            <v>48409732</v>
          </cell>
          <cell r="H207">
            <v>743.4</v>
          </cell>
          <cell r="I207">
            <v>733</v>
          </cell>
          <cell r="J207">
            <v>537</v>
          </cell>
          <cell r="K207">
            <v>5331007</v>
          </cell>
          <cell r="L207">
            <v>49</v>
          </cell>
          <cell r="M207">
            <v>0</v>
          </cell>
          <cell r="N207">
            <v>603734</v>
          </cell>
          <cell r="O207">
            <v>580946</v>
          </cell>
          <cell r="P207">
            <v>273041</v>
          </cell>
          <cell r="Q207">
            <v>98352</v>
          </cell>
          <cell r="R207">
            <v>172213</v>
          </cell>
          <cell r="U207">
            <v>120025</v>
          </cell>
          <cell r="V207">
            <v>0</v>
          </cell>
          <cell r="W207">
            <v>672573</v>
          </cell>
          <cell r="X207">
            <v>0.318</v>
          </cell>
          <cell r="Y207">
            <v>0.29799999999999999</v>
          </cell>
          <cell r="Z207">
            <v>239</v>
          </cell>
          <cell r="AA207">
            <v>89</v>
          </cell>
          <cell r="AB207">
            <v>0.29749999999999999</v>
          </cell>
          <cell r="AC207">
            <v>0</v>
          </cell>
          <cell r="AD207">
            <v>0.11</v>
          </cell>
        </row>
        <row r="208">
          <cell r="A208">
            <v>418</v>
          </cell>
          <cell r="B208" t="str">
            <v>418 - McPherson</v>
          </cell>
          <cell r="C208" t="str">
            <v>McPherson</v>
          </cell>
          <cell r="D208">
            <v>161905076</v>
          </cell>
          <cell r="E208">
            <v>149858178</v>
          </cell>
          <cell r="F208">
            <v>163149254</v>
          </cell>
          <cell r="G208">
            <v>151084826</v>
          </cell>
          <cell r="H208">
            <v>2241.1</v>
          </cell>
          <cell r="I208">
            <v>2283.8000000000002</v>
          </cell>
          <cell r="J208">
            <v>156.30000000000001</v>
          </cell>
          <cell r="K208">
            <v>13357847</v>
          </cell>
          <cell r="L208">
            <v>84</v>
          </cell>
          <cell r="M208">
            <v>0</v>
          </cell>
          <cell r="N208">
            <v>2033652</v>
          </cell>
          <cell r="O208">
            <v>2358458</v>
          </cell>
          <cell r="P208">
            <v>596286</v>
          </cell>
          <cell r="Q208">
            <v>221066</v>
          </cell>
          <cell r="R208">
            <v>387085</v>
          </cell>
          <cell r="U208">
            <v>303419</v>
          </cell>
          <cell r="V208">
            <v>0</v>
          </cell>
          <cell r="W208">
            <v>2296201</v>
          </cell>
          <cell r="X208">
            <v>0.314</v>
          </cell>
          <cell r="Y208">
            <v>0.28000000000000003</v>
          </cell>
          <cell r="Z208">
            <v>721</v>
          </cell>
          <cell r="AA208">
            <v>280</v>
          </cell>
          <cell r="AB208">
            <v>0.31909999999999999</v>
          </cell>
          <cell r="AC208">
            <v>0</v>
          </cell>
          <cell r="AD208">
            <v>0.13</v>
          </cell>
        </row>
        <row r="209">
          <cell r="A209">
            <v>419</v>
          </cell>
          <cell r="B209" t="str">
            <v>419 - Canton-Galva</v>
          </cell>
          <cell r="C209" t="str">
            <v>McPherson</v>
          </cell>
          <cell r="D209">
            <v>26518025</v>
          </cell>
          <cell r="E209">
            <v>24033731</v>
          </cell>
          <cell r="F209">
            <v>28139981</v>
          </cell>
          <cell r="G209">
            <v>25640581</v>
          </cell>
          <cell r="H209">
            <v>368.9</v>
          </cell>
          <cell r="I209">
            <v>364.8</v>
          </cell>
          <cell r="J209">
            <v>167.5</v>
          </cell>
          <cell r="K209">
            <v>2921648</v>
          </cell>
          <cell r="L209">
            <v>33</v>
          </cell>
          <cell r="M209">
            <v>0</v>
          </cell>
          <cell r="N209">
            <v>381758</v>
          </cell>
          <cell r="O209">
            <v>411541</v>
          </cell>
          <cell r="P209">
            <v>143900</v>
          </cell>
          <cell r="Q209">
            <v>53114</v>
          </cell>
          <cell r="R209">
            <v>93003</v>
          </cell>
          <cell r="U209">
            <v>65211</v>
          </cell>
          <cell r="V209">
            <v>0</v>
          </cell>
          <cell r="W209">
            <v>394917</v>
          </cell>
          <cell r="X209">
            <v>0.23699999999999999</v>
          </cell>
          <cell r="Y209">
            <v>0.28999999999999998</v>
          </cell>
          <cell r="Z209">
            <v>88</v>
          </cell>
          <cell r="AA209">
            <v>57</v>
          </cell>
          <cell r="AB209">
            <v>0.26400000000000001</v>
          </cell>
          <cell r="AC209">
            <v>0</v>
          </cell>
          <cell r="AD209">
            <v>7.0000000000000007E-2</v>
          </cell>
        </row>
        <row r="210">
          <cell r="A210">
            <v>420</v>
          </cell>
          <cell r="B210" t="str">
            <v>420 - Osage City</v>
          </cell>
          <cell r="C210" t="str">
            <v>Osage</v>
          </cell>
          <cell r="D210">
            <v>27044931</v>
          </cell>
          <cell r="E210">
            <v>23594564</v>
          </cell>
          <cell r="F210">
            <v>26486239</v>
          </cell>
          <cell r="G210">
            <v>23040074</v>
          </cell>
          <cell r="H210">
            <v>642.70000000000005</v>
          </cell>
          <cell r="I210">
            <v>672.1</v>
          </cell>
          <cell r="J210">
            <v>127.3</v>
          </cell>
          <cell r="K210">
            <v>4855502</v>
          </cell>
          <cell r="L210">
            <v>20</v>
          </cell>
          <cell r="M210">
            <v>0</v>
          </cell>
          <cell r="N210">
            <v>672892</v>
          </cell>
          <cell r="O210">
            <v>671748</v>
          </cell>
          <cell r="P210">
            <v>226991</v>
          </cell>
          <cell r="Q210">
            <v>82840</v>
          </cell>
          <cell r="R210">
            <v>145053</v>
          </cell>
          <cell r="U210">
            <v>96885</v>
          </cell>
          <cell r="V210">
            <v>0</v>
          </cell>
          <cell r="W210">
            <v>822116</v>
          </cell>
          <cell r="X210">
            <v>0.38200000000000001</v>
          </cell>
          <cell r="Y210">
            <v>0.33900000000000002</v>
          </cell>
          <cell r="Z210">
            <v>257</v>
          </cell>
          <cell r="AA210">
            <v>79</v>
          </cell>
          <cell r="AB210">
            <v>0.622</v>
          </cell>
          <cell r="AC210">
            <v>0.25</v>
          </cell>
          <cell r="AD210">
            <v>0.45</v>
          </cell>
        </row>
        <row r="211">
          <cell r="A211">
            <v>421</v>
          </cell>
          <cell r="B211" t="str">
            <v>421 - Lyndon</v>
          </cell>
          <cell r="C211" t="str">
            <v>Osage</v>
          </cell>
          <cell r="D211">
            <v>20452523</v>
          </cell>
          <cell r="E211">
            <v>17798323</v>
          </cell>
          <cell r="F211">
            <v>20386141</v>
          </cell>
          <cell r="G211">
            <v>17730267</v>
          </cell>
          <cell r="H211">
            <v>428</v>
          </cell>
          <cell r="I211">
            <v>453.5</v>
          </cell>
          <cell r="J211">
            <v>109</v>
          </cell>
          <cell r="K211">
            <v>3325505</v>
          </cell>
          <cell r="L211">
            <v>18</v>
          </cell>
          <cell r="M211">
            <v>0</v>
          </cell>
          <cell r="N211">
            <v>451387</v>
          </cell>
          <cell r="O211">
            <v>444385</v>
          </cell>
          <cell r="P211">
            <v>157829</v>
          </cell>
          <cell r="Q211">
            <v>57101</v>
          </cell>
          <cell r="R211">
            <v>99983</v>
          </cell>
          <cell r="U211">
            <v>66533</v>
          </cell>
          <cell r="V211">
            <v>0</v>
          </cell>
          <cell r="W211">
            <v>529037</v>
          </cell>
          <cell r="X211">
            <v>0.19</v>
          </cell>
          <cell r="Y211">
            <v>0.17599999999999999</v>
          </cell>
          <cell r="Z211">
            <v>86</v>
          </cell>
          <cell r="AA211">
            <v>47</v>
          </cell>
          <cell r="AB211">
            <v>0.57040000000000002</v>
          </cell>
          <cell r="AC211">
            <v>0.19</v>
          </cell>
          <cell r="AD211">
            <v>0.39</v>
          </cell>
        </row>
        <row r="212">
          <cell r="A212">
            <v>422</v>
          </cell>
          <cell r="B212" t="str">
            <v>422 - Greensburg</v>
          </cell>
          <cell r="C212" t="str">
            <v>Kiowa</v>
          </cell>
          <cell r="D212">
            <v>66797988</v>
          </cell>
          <cell r="E212">
            <v>65365365</v>
          </cell>
          <cell r="F212">
            <v>69099733</v>
          </cell>
          <cell r="G212">
            <v>67562004</v>
          </cell>
          <cell r="H212">
            <v>250.8</v>
          </cell>
          <cell r="I212">
            <v>260.5</v>
          </cell>
          <cell r="J212">
            <v>459.8</v>
          </cell>
          <cell r="K212">
            <v>3441725</v>
          </cell>
          <cell r="L212">
            <v>37</v>
          </cell>
          <cell r="M212">
            <v>0</v>
          </cell>
          <cell r="N212">
            <v>273419</v>
          </cell>
          <cell r="O212">
            <v>295270</v>
          </cell>
          <cell r="P212">
            <v>175081</v>
          </cell>
          <cell r="Q212">
            <v>63849</v>
          </cell>
          <cell r="R212">
            <v>111801</v>
          </cell>
          <cell r="U212">
            <v>0</v>
          </cell>
          <cell r="V212">
            <v>0</v>
          </cell>
          <cell r="W212">
            <v>289543</v>
          </cell>
          <cell r="X212">
            <v>0.311</v>
          </cell>
          <cell r="Y212">
            <v>0.26200000000000001</v>
          </cell>
          <cell r="Z212">
            <v>82</v>
          </cell>
          <cell r="AA212">
            <v>38</v>
          </cell>
          <cell r="AB212">
            <v>0</v>
          </cell>
          <cell r="AC212">
            <v>0</v>
          </cell>
          <cell r="AD212">
            <v>0</v>
          </cell>
        </row>
        <row r="213">
          <cell r="A213">
            <v>423</v>
          </cell>
          <cell r="B213" t="str">
            <v>423 - Moundridge</v>
          </cell>
          <cell r="C213" t="str">
            <v>McPherson</v>
          </cell>
          <cell r="D213">
            <v>39328682</v>
          </cell>
          <cell r="E213">
            <v>36555101</v>
          </cell>
          <cell r="F213">
            <v>39581496</v>
          </cell>
          <cell r="G213">
            <v>36792831</v>
          </cell>
          <cell r="H213">
            <v>413</v>
          </cell>
          <cell r="I213">
            <v>400</v>
          </cell>
          <cell r="J213">
            <v>156</v>
          </cell>
          <cell r="K213">
            <v>3148813</v>
          </cell>
          <cell r="L213">
            <v>34</v>
          </cell>
          <cell r="M213">
            <v>0</v>
          </cell>
          <cell r="N213">
            <v>409946</v>
          </cell>
          <cell r="O213">
            <v>420605</v>
          </cell>
          <cell r="P213">
            <v>157894</v>
          </cell>
          <cell r="Q213">
            <v>57125</v>
          </cell>
          <cell r="R213">
            <v>100025</v>
          </cell>
          <cell r="U213">
            <v>29536</v>
          </cell>
          <cell r="V213">
            <v>0</v>
          </cell>
          <cell r="W213">
            <v>412532</v>
          </cell>
          <cell r="X213">
            <v>0.26</v>
          </cell>
          <cell r="Y213">
            <v>0.23799999999999999</v>
          </cell>
          <cell r="Z213">
            <v>109</v>
          </cell>
          <cell r="AA213">
            <v>34</v>
          </cell>
          <cell r="AB213">
            <v>6.2300000000000001E-2</v>
          </cell>
          <cell r="AC213">
            <v>0</v>
          </cell>
          <cell r="AD213">
            <v>0</v>
          </cell>
        </row>
        <row r="214">
          <cell r="A214">
            <v>426</v>
          </cell>
          <cell r="B214" t="str">
            <v>426 - Pike Valley</v>
          </cell>
          <cell r="C214" t="str">
            <v>Republic</v>
          </cell>
          <cell r="D214">
            <v>12260259</v>
          </cell>
          <cell r="E214">
            <v>11065069</v>
          </cell>
          <cell r="F214">
            <v>12491343</v>
          </cell>
          <cell r="G214">
            <v>11290123</v>
          </cell>
          <cell r="H214">
            <v>247</v>
          </cell>
          <cell r="I214">
            <v>241</v>
          </cell>
          <cell r="J214">
            <v>194.8</v>
          </cell>
          <cell r="K214">
            <v>2142909</v>
          </cell>
          <cell r="L214">
            <v>10</v>
          </cell>
          <cell r="M214">
            <v>0</v>
          </cell>
          <cell r="N214">
            <v>267244</v>
          </cell>
          <cell r="O214">
            <v>266865</v>
          </cell>
          <cell r="P214">
            <v>105350</v>
          </cell>
          <cell r="Q214">
            <v>39173</v>
          </cell>
          <cell r="R214">
            <v>68592</v>
          </cell>
          <cell r="U214">
            <v>69620</v>
          </cell>
          <cell r="V214">
            <v>0</v>
          </cell>
          <cell r="W214">
            <v>291358</v>
          </cell>
          <cell r="X214">
            <v>0.36</v>
          </cell>
          <cell r="Y214">
            <v>0.35099999999999998</v>
          </cell>
          <cell r="Z214">
            <v>89</v>
          </cell>
          <cell r="AA214">
            <v>32</v>
          </cell>
          <cell r="AB214">
            <v>0.50270000000000004</v>
          </cell>
          <cell r="AC214">
            <v>0.12</v>
          </cell>
          <cell r="AD214">
            <v>0.32</v>
          </cell>
        </row>
        <row r="215">
          <cell r="A215">
            <v>428</v>
          </cell>
          <cell r="B215" t="str">
            <v>428 - Great Bend</v>
          </cell>
          <cell r="C215" t="str">
            <v>Barton</v>
          </cell>
          <cell r="D215">
            <v>137935912</v>
          </cell>
          <cell r="E215">
            <v>122323978</v>
          </cell>
          <cell r="F215">
            <v>140167525</v>
          </cell>
          <cell r="G215">
            <v>124524856</v>
          </cell>
          <cell r="H215">
            <v>3022.7</v>
          </cell>
          <cell r="I215">
            <v>3008.6</v>
          </cell>
          <cell r="J215">
            <v>190</v>
          </cell>
          <cell r="K215">
            <v>19133820</v>
          </cell>
          <cell r="L215">
            <v>104</v>
          </cell>
          <cell r="M215">
            <v>0</v>
          </cell>
          <cell r="N215">
            <v>1841037</v>
          </cell>
          <cell r="O215">
            <v>1975548</v>
          </cell>
          <cell r="P215">
            <v>912993</v>
          </cell>
          <cell r="Q215">
            <v>348845</v>
          </cell>
          <cell r="R215">
            <v>610827</v>
          </cell>
          <cell r="U215">
            <v>726102</v>
          </cell>
          <cell r="V215">
            <v>0</v>
          </cell>
          <cell r="W215">
            <v>2088537</v>
          </cell>
          <cell r="X215">
            <v>0.56799999999999995</v>
          </cell>
          <cell r="Y215">
            <v>0.54700000000000004</v>
          </cell>
          <cell r="Z215">
            <v>1725</v>
          </cell>
          <cell r="AA215">
            <v>269</v>
          </cell>
          <cell r="AB215">
            <v>0.57040000000000002</v>
          </cell>
          <cell r="AC215">
            <v>0.19</v>
          </cell>
          <cell r="AD215">
            <v>0.39</v>
          </cell>
        </row>
        <row r="216">
          <cell r="A216">
            <v>429</v>
          </cell>
          <cell r="B216" t="str">
            <v>429 - Troy</v>
          </cell>
          <cell r="C216" t="str">
            <v>Doniphan</v>
          </cell>
          <cell r="D216">
            <v>15804071</v>
          </cell>
          <cell r="E216">
            <v>14020522</v>
          </cell>
          <cell r="F216">
            <v>18518614</v>
          </cell>
          <cell r="G216">
            <v>16755057</v>
          </cell>
          <cell r="H216">
            <v>347</v>
          </cell>
          <cell r="I216">
            <v>347.5</v>
          </cell>
          <cell r="J216">
            <v>95</v>
          </cell>
          <cell r="K216">
            <v>2697239</v>
          </cell>
          <cell r="L216">
            <v>33</v>
          </cell>
          <cell r="M216">
            <v>0</v>
          </cell>
          <cell r="N216">
            <v>339121</v>
          </cell>
          <cell r="O216">
            <v>346442</v>
          </cell>
          <cell r="P216">
            <v>129031</v>
          </cell>
          <cell r="Q216">
            <v>47468</v>
          </cell>
          <cell r="R216">
            <v>83117</v>
          </cell>
          <cell r="U216">
            <v>102967</v>
          </cell>
          <cell r="V216">
            <v>0</v>
          </cell>
          <cell r="W216">
            <v>338671</v>
          </cell>
          <cell r="X216">
            <v>0.35399999999999998</v>
          </cell>
          <cell r="Y216">
            <v>0.30099999999999999</v>
          </cell>
          <cell r="Z216">
            <v>123</v>
          </cell>
          <cell r="AA216">
            <v>34</v>
          </cell>
          <cell r="AB216">
            <v>0.50949999999999995</v>
          </cell>
          <cell r="AC216">
            <v>0.13</v>
          </cell>
          <cell r="AD216">
            <v>0.33</v>
          </cell>
        </row>
        <row r="217">
          <cell r="A217">
            <v>430</v>
          </cell>
          <cell r="B217" t="str">
            <v>430 - Brown County</v>
          </cell>
          <cell r="C217" t="str">
            <v>Brown</v>
          </cell>
          <cell r="D217">
            <v>20733403</v>
          </cell>
          <cell r="E217">
            <v>17756570</v>
          </cell>
          <cell r="F217">
            <v>21342892</v>
          </cell>
          <cell r="G217">
            <v>18388666</v>
          </cell>
          <cell r="H217">
            <v>609.20000000000005</v>
          </cell>
          <cell r="I217">
            <v>580.5</v>
          </cell>
          <cell r="J217">
            <v>156.4</v>
          </cell>
          <cell r="K217">
            <v>5160620</v>
          </cell>
          <cell r="L217">
            <v>23</v>
          </cell>
          <cell r="M217">
            <v>0</v>
          </cell>
          <cell r="N217">
            <v>696682</v>
          </cell>
          <cell r="O217">
            <v>721345</v>
          </cell>
          <cell r="P217">
            <v>252159</v>
          </cell>
          <cell r="Q217">
            <v>93503</v>
          </cell>
          <cell r="R217">
            <v>163724</v>
          </cell>
          <cell r="U217">
            <v>283171</v>
          </cell>
          <cell r="V217">
            <v>0</v>
          </cell>
          <cell r="W217">
            <v>830393</v>
          </cell>
          <cell r="X217">
            <v>0.57899999999999996</v>
          </cell>
          <cell r="Y217">
            <v>0.52200000000000002</v>
          </cell>
          <cell r="Z217">
            <v>353</v>
          </cell>
          <cell r="AA217">
            <v>69</v>
          </cell>
          <cell r="AB217">
            <v>0.65549999999999997</v>
          </cell>
          <cell r="AC217">
            <v>0.28000000000000003</v>
          </cell>
          <cell r="AD217">
            <v>0.48</v>
          </cell>
        </row>
        <row r="218">
          <cell r="A218">
            <v>431</v>
          </cell>
          <cell r="B218" t="str">
            <v>431 - Hoisington</v>
          </cell>
          <cell r="C218" t="str">
            <v>Barton</v>
          </cell>
          <cell r="D218">
            <v>35688404</v>
          </cell>
          <cell r="E218">
            <v>32121961</v>
          </cell>
          <cell r="F218">
            <v>37644095</v>
          </cell>
          <cell r="G218">
            <v>34056767</v>
          </cell>
          <cell r="H218">
            <v>610.9</v>
          </cell>
          <cell r="I218">
            <v>634.5</v>
          </cell>
          <cell r="J218">
            <v>292</v>
          </cell>
          <cell r="K218">
            <v>4699991</v>
          </cell>
          <cell r="L218">
            <v>43</v>
          </cell>
          <cell r="M218">
            <v>0</v>
          </cell>
          <cell r="N218">
            <v>508199</v>
          </cell>
          <cell r="O218">
            <v>554404</v>
          </cell>
          <cell r="P218">
            <v>210023</v>
          </cell>
          <cell r="Q218">
            <v>79731</v>
          </cell>
          <cell r="R218">
            <v>139610</v>
          </cell>
          <cell r="U218">
            <v>105105</v>
          </cell>
          <cell r="V218">
            <v>0</v>
          </cell>
          <cell r="W218">
            <v>573375</v>
          </cell>
          <cell r="X218">
            <v>0.39300000000000002</v>
          </cell>
          <cell r="Y218">
            <v>0.313</v>
          </cell>
          <cell r="Z218">
            <v>255</v>
          </cell>
          <cell r="AA218">
            <v>81</v>
          </cell>
          <cell r="AB218">
            <v>0.44359999999999999</v>
          </cell>
          <cell r="AC218">
            <v>0.06</v>
          </cell>
          <cell r="AD218">
            <v>0.26</v>
          </cell>
        </row>
        <row r="219">
          <cell r="A219">
            <v>432</v>
          </cell>
          <cell r="B219" t="str">
            <v>432 - Victoria</v>
          </cell>
          <cell r="C219" t="str">
            <v>Ellis</v>
          </cell>
          <cell r="D219">
            <v>28187395</v>
          </cell>
          <cell r="E219">
            <v>26338440</v>
          </cell>
          <cell r="F219">
            <v>32710191</v>
          </cell>
          <cell r="G219">
            <v>30857569</v>
          </cell>
          <cell r="H219">
            <v>257</v>
          </cell>
          <cell r="I219">
            <v>257</v>
          </cell>
          <cell r="J219">
            <v>193.3</v>
          </cell>
          <cell r="K219">
            <v>1996453</v>
          </cell>
          <cell r="L219">
            <v>10</v>
          </cell>
          <cell r="M219">
            <v>0</v>
          </cell>
          <cell r="N219">
            <v>225688</v>
          </cell>
          <cell r="O219">
            <v>219618</v>
          </cell>
          <cell r="P219">
            <v>98178</v>
          </cell>
          <cell r="Q219">
            <v>36346</v>
          </cell>
          <cell r="R219">
            <v>63642</v>
          </cell>
          <cell r="U219">
            <v>0</v>
          </cell>
          <cell r="V219">
            <v>0</v>
          </cell>
          <cell r="W219">
            <v>270667</v>
          </cell>
          <cell r="X219">
            <v>0.128</v>
          </cell>
          <cell r="Y219">
            <v>0.12</v>
          </cell>
          <cell r="Z219">
            <v>33</v>
          </cell>
          <cell r="AA219">
            <v>32</v>
          </cell>
          <cell r="AB219">
            <v>0</v>
          </cell>
          <cell r="AC219">
            <v>0</v>
          </cell>
          <cell r="AD219">
            <v>0</v>
          </cell>
        </row>
        <row r="220">
          <cell r="A220">
            <v>434</v>
          </cell>
          <cell r="B220" t="str">
            <v>434 - Santa Fe</v>
          </cell>
          <cell r="C220" t="str">
            <v>Osage</v>
          </cell>
          <cell r="D220">
            <v>44885974</v>
          </cell>
          <cell r="E220">
            <v>39189761</v>
          </cell>
          <cell r="F220">
            <v>45167836</v>
          </cell>
          <cell r="G220">
            <v>39471971</v>
          </cell>
          <cell r="H220">
            <v>1054.4000000000001</v>
          </cell>
          <cell r="I220">
            <v>1035.4000000000001</v>
          </cell>
          <cell r="J220">
            <v>201</v>
          </cell>
          <cell r="K220">
            <v>7668095</v>
          </cell>
          <cell r="L220">
            <v>71</v>
          </cell>
          <cell r="M220">
            <v>0</v>
          </cell>
          <cell r="N220">
            <v>1230019</v>
          </cell>
          <cell r="O220">
            <v>1201980</v>
          </cell>
          <cell r="P220">
            <v>357422</v>
          </cell>
          <cell r="Q220">
            <v>134859</v>
          </cell>
          <cell r="R220">
            <v>236138</v>
          </cell>
          <cell r="U220">
            <v>370819</v>
          </cell>
          <cell r="V220">
            <v>0</v>
          </cell>
          <cell r="W220">
            <v>1411795</v>
          </cell>
          <cell r="X220">
            <v>0.33400000000000002</v>
          </cell>
          <cell r="Y220">
            <v>0.28899999999999998</v>
          </cell>
          <cell r="Z220">
            <v>360</v>
          </cell>
          <cell r="AA220">
            <v>137</v>
          </cell>
          <cell r="AB220">
            <v>0.5857</v>
          </cell>
          <cell r="AC220">
            <v>0.21</v>
          </cell>
          <cell r="AD220">
            <v>0.41</v>
          </cell>
        </row>
        <row r="221">
          <cell r="A221">
            <v>435</v>
          </cell>
          <cell r="B221" t="str">
            <v>435 - Abilene</v>
          </cell>
          <cell r="C221" t="str">
            <v>Dickinson</v>
          </cell>
          <cell r="D221">
            <v>74751797</v>
          </cell>
          <cell r="E221">
            <v>67076238</v>
          </cell>
          <cell r="F221">
            <v>75552265</v>
          </cell>
          <cell r="G221">
            <v>67832057</v>
          </cell>
          <cell r="H221">
            <v>1501.7</v>
          </cell>
          <cell r="I221">
            <v>1518.3</v>
          </cell>
          <cell r="J221">
            <v>101.5</v>
          </cell>
          <cell r="K221">
            <v>8826360</v>
          </cell>
          <cell r="L221">
            <v>60</v>
          </cell>
          <cell r="M221">
            <v>0</v>
          </cell>
          <cell r="N221">
            <v>1152228</v>
          </cell>
          <cell r="O221">
            <v>1203751</v>
          </cell>
          <cell r="P221">
            <v>422517</v>
          </cell>
          <cell r="Q221">
            <v>157152</v>
          </cell>
          <cell r="R221">
            <v>275172</v>
          </cell>
          <cell r="U221">
            <v>327297</v>
          </cell>
          <cell r="V221">
            <v>0</v>
          </cell>
          <cell r="W221">
            <v>1393535</v>
          </cell>
          <cell r="X221">
            <v>0.26200000000000001</v>
          </cell>
          <cell r="Y221">
            <v>0.248</v>
          </cell>
          <cell r="Z221">
            <v>398</v>
          </cell>
          <cell r="AA221">
            <v>277</v>
          </cell>
          <cell r="AB221">
            <v>0.53100000000000003</v>
          </cell>
          <cell r="AC221">
            <v>0.15</v>
          </cell>
          <cell r="AD221">
            <v>0.35</v>
          </cell>
        </row>
        <row r="222">
          <cell r="A222">
            <v>436</v>
          </cell>
          <cell r="B222" t="str">
            <v>436 - Caney</v>
          </cell>
          <cell r="C222" t="str">
            <v>Montgomery</v>
          </cell>
          <cell r="D222">
            <v>33753537</v>
          </cell>
          <cell r="E222">
            <v>29737442</v>
          </cell>
          <cell r="F222">
            <v>31039475</v>
          </cell>
          <cell r="G222">
            <v>26988676</v>
          </cell>
          <cell r="H222">
            <v>779.8</v>
          </cell>
          <cell r="I222">
            <v>805.9</v>
          </cell>
          <cell r="J222">
            <v>168</v>
          </cell>
          <cell r="K222">
            <v>5818099</v>
          </cell>
          <cell r="L222">
            <v>42</v>
          </cell>
          <cell r="M222">
            <v>0</v>
          </cell>
          <cell r="N222">
            <v>435936</v>
          </cell>
          <cell r="O222">
            <v>447250</v>
          </cell>
          <cell r="P222">
            <v>275840</v>
          </cell>
          <cell r="Q222">
            <v>105552</v>
          </cell>
          <cell r="R222">
            <v>184821</v>
          </cell>
          <cell r="U222">
            <v>152336</v>
          </cell>
          <cell r="V222">
            <v>0</v>
          </cell>
          <cell r="W222">
            <v>526930</v>
          </cell>
          <cell r="X222">
            <v>0.43099999999999999</v>
          </cell>
          <cell r="Y222">
            <v>0.376</v>
          </cell>
          <cell r="Z222">
            <v>351</v>
          </cell>
          <cell r="AA222">
            <v>97</v>
          </cell>
          <cell r="AB222">
            <v>0.64929999999999999</v>
          </cell>
          <cell r="AC222">
            <v>0.27</v>
          </cell>
          <cell r="AD222">
            <v>0.47</v>
          </cell>
        </row>
        <row r="223">
          <cell r="A223">
            <v>437</v>
          </cell>
          <cell r="B223" t="str">
            <v>437 - Auburn Washburn</v>
          </cell>
          <cell r="C223" t="str">
            <v>Shawnee</v>
          </cell>
          <cell r="D223">
            <v>431013926</v>
          </cell>
          <cell r="E223">
            <v>404531164</v>
          </cell>
          <cell r="F223">
            <v>427721097</v>
          </cell>
          <cell r="G223">
            <v>401020468</v>
          </cell>
          <cell r="H223">
            <v>5378.5</v>
          </cell>
          <cell r="I223">
            <v>5507.4</v>
          </cell>
          <cell r="J223">
            <v>128</v>
          </cell>
          <cell r="K223">
            <v>32659384</v>
          </cell>
          <cell r="L223">
            <v>196</v>
          </cell>
          <cell r="M223">
            <v>0</v>
          </cell>
          <cell r="N223">
            <v>4759077</v>
          </cell>
          <cell r="O223">
            <v>5379662</v>
          </cell>
          <cell r="P223">
            <v>1410291</v>
          </cell>
          <cell r="Q223">
            <v>542995</v>
          </cell>
          <cell r="R223">
            <v>950784</v>
          </cell>
          <cell r="U223">
            <v>551054</v>
          </cell>
          <cell r="V223">
            <v>3.09</v>
          </cell>
          <cell r="W223">
            <v>5497178</v>
          </cell>
          <cell r="X223">
            <v>0.214</v>
          </cell>
          <cell r="Y223">
            <v>0.214</v>
          </cell>
          <cell r="Z223">
            <v>1183</v>
          </cell>
          <cell r="AA223">
            <v>444</v>
          </cell>
          <cell r="AB223">
            <v>0.25940000000000002</v>
          </cell>
          <cell r="AC223">
            <v>0</v>
          </cell>
          <cell r="AD223">
            <v>7.0000000000000007E-2</v>
          </cell>
        </row>
        <row r="224">
          <cell r="A224">
            <v>438</v>
          </cell>
          <cell r="B224" t="str">
            <v>438 - Skyline</v>
          </cell>
          <cell r="C224" t="str">
            <v>Pratt</v>
          </cell>
          <cell r="D224">
            <v>26398613</v>
          </cell>
          <cell r="E224">
            <v>25276573</v>
          </cell>
          <cell r="F224">
            <v>27629135</v>
          </cell>
          <cell r="G224">
            <v>26494908</v>
          </cell>
          <cell r="H224">
            <v>342.4</v>
          </cell>
          <cell r="I224">
            <v>362.2</v>
          </cell>
          <cell r="J224">
            <v>490</v>
          </cell>
          <cell r="K224">
            <v>2884640</v>
          </cell>
          <cell r="L224">
            <v>34</v>
          </cell>
          <cell r="M224">
            <v>0</v>
          </cell>
          <cell r="N224">
            <v>364179</v>
          </cell>
          <cell r="O224">
            <v>391441</v>
          </cell>
          <cell r="P224">
            <v>136684</v>
          </cell>
          <cell r="Q224">
            <v>49675</v>
          </cell>
          <cell r="R224">
            <v>86981</v>
          </cell>
          <cell r="U224">
            <v>56054</v>
          </cell>
          <cell r="V224">
            <v>0</v>
          </cell>
          <cell r="W224">
            <v>415786</v>
          </cell>
          <cell r="X224">
            <v>0.23699999999999999</v>
          </cell>
          <cell r="Y224">
            <v>0.223</v>
          </cell>
          <cell r="Z224">
            <v>86</v>
          </cell>
          <cell r="AA224">
            <v>48</v>
          </cell>
          <cell r="AB224">
            <v>0.30330000000000001</v>
          </cell>
          <cell r="AC224">
            <v>0</v>
          </cell>
          <cell r="AD224">
            <v>0.11</v>
          </cell>
        </row>
        <row r="225">
          <cell r="A225">
            <v>439</v>
          </cell>
          <cell r="B225" t="str">
            <v>439 - Sedgwick</v>
          </cell>
          <cell r="C225" t="str">
            <v>Harvey</v>
          </cell>
          <cell r="D225">
            <v>14302257</v>
          </cell>
          <cell r="E225">
            <v>12564168</v>
          </cell>
          <cell r="F225">
            <v>15137047</v>
          </cell>
          <cell r="G225">
            <v>13393983</v>
          </cell>
          <cell r="H225">
            <v>554.5</v>
          </cell>
          <cell r="I225">
            <v>536.6</v>
          </cell>
          <cell r="J225">
            <v>42</v>
          </cell>
          <cell r="K225">
            <v>3820071</v>
          </cell>
          <cell r="L225">
            <v>21</v>
          </cell>
          <cell r="M225">
            <v>0</v>
          </cell>
          <cell r="N225">
            <v>406236</v>
          </cell>
          <cell r="O225">
            <v>445458</v>
          </cell>
          <cell r="P225">
            <v>179236</v>
          </cell>
          <cell r="Q225">
            <v>69141</v>
          </cell>
          <cell r="R225">
            <v>121066</v>
          </cell>
          <cell r="U225">
            <v>94331</v>
          </cell>
          <cell r="V225">
            <v>0</v>
          </cell>
          <cell r="W225">
            <v>453550</v>
          </cell>
          <cell r="X225">
            <v>0.20200000000000001</v>
          </cell>
          <cell r="Y225">
            <v>0.215</v>
          </cell>
          <cell r="Z225">
            <v>112</v>
          </cell>
          <cell r="AA225">
            <v>68</v>
          </cell>
          <cell r="AB225">
            <v>0.73350000000000004</v>
          </cell>
          <cell r="AC225">
            <v>0.36</v>
          </cell>
          <cell r="AD225">
            <v>0.56000000000000005</v>
          </cell>
        </row>
        <row r="226">
          <cell r="A226">
            <v>440</v>
          </cell>
          <cell r="B226" t="str">
            <v>440 - Halstead</v>
          </cell>
          <cell r="C226" t="str">
            <v>Harvey</v>
          </cell>
          <cell r="D226">
            <v>34073764</v>
          </cell>
          <cell r="E226">
            <v>30089983</v>
          </cell>
          <cell r="F226">
            <v>35420280</v>
          </cell>
          <cell r="G226">
            <v>31423313</v>
          </cell>
          <cell r="H226">
            <v>775.6</v>
          </cell>
          <cell r="I226">
            <v>772</v>
          </cell>
          <cell r="J226">
            <v>130</v>
          </cell>
          <cell r="K226">
            <v>5522824</v>
          </cell>
          <cell r="L226">
            <v>27</v>
          </cell>
          <cell r="M226">
            <v>0</v>
          </cell>
          <cell r="N226">
            <v>587011</v>
          </cell>
          <cell r="O226">
            <v>635682</v>
          </cell>
          <cell r="P226">
            <v>267115</v>
          </cell>
          <cell r="Q226">
            <v>100429</v>
          </cell>
          <cell r="R226">
            <v>175852</v>
          </cell>
          <cell r="U226">
            <v>176650</v>
          </cell>
          <cell r="V226">
            <v>0</v>
          </cell>
          <cell r="W226">
            <v>657735</v>
          </cell>
          <cell r="X226">
            <v>0.317</v>
          </cell>
          <cell r="Y226">
            <v>0.313</v>
          </cell>
          <cell r="Z226">
            <v>249</v>
          </cell>
          <cell r="AA226">
            <v>115</v>
          </cell>
          <cell r="AB226">
            <v>0.56799999999999995</v>
          </cell>
          <cell r="AC226">
            <v>0.19</v>
          </cell>
          <cell r="AD226">
            <v>0.39</v>
          </cell>
        </row>
        <row r="227">
          <cell r="A227">
            <v>443</v>
          </cell>
          <cell r="B227" t="str">
            <v>443 - Dodge City</v>
          </cell>
          <cell r="C227" t="str">
            <v>Ford</v>
          </cell>
          <cell r="D227">
            <v>183366354</v>
          </cell>
          <cell r="E227">
            <v>164035266</v>
          </cell>
          <cell r="F227">
            <v>190051852</v>
          </cell>
          <cell r="G227">
            <v>170617784</v>
          </cell>
          <cell r="H227">
            <v>5721.7</v>
          </cell>
          <cell r="I227">
            <v>5949.2</v>
          </cell>
          <cell r="J227">
            <v>425.7</v>
          </cell>
          <cell r="K227">
            <v>43423929</v>
          </cell>
          <cell r="L227">
            <v>253</v>
          </cell>
          <cell r="M227">
            <v>0</v>
          </cell>
          <cell r="N227">
            <v>3984123</v>
          </cell>
          <cell r="O227">
            <v>4244867</v>
          </cell>
          <cell r="P227">
            <v>1958253</v>
          </cell>
          <cell r="Q227">
            <v>774901</v>
          </cell>
          <cell r="R227">
            <v>1356850</v>
          </cell>
          <cell r="U227">
            <v>1982710</v>
          </cell>
          <cell r="V227">
            <v>0</v>
          </cell>
          <cell r="W227">
            <v>4812211</v>
          </cell>
          <cell r="X227">
            <v>0.72199999999999998</v>
          </cell>
          <cell r="Y227">
            <v>0.70899999999999996</v>
          </cell>
          <cell r="Z227">
            <v>4348</v>
          </cell>
          <cell r="AA227">
            <v>799</v>
          </cell>
          <cell r="AB227">
            <v>0.69730000000000003</v>
          </cell>
          <cell r="AC227">
            <v>0.32</v>
          </cell>
          <cell r="AD227">
            <v>0.52</v>
          </cell>
        </row>
        <row r="228">
          <cell r="A228">
            <v>444</v>
          </cell>
          <cell r="B228" t="str">
            <v>444 - Little River</v>
          </cell>
          <cell r="C228" t="str">
            <v>Rice</v>
          </cell>
          <cell r="D228">
            <v>28522352</v>
          </cell>
          <cell r="E228">
            <v>27187658</v>
          </cell>
          <cell r="F228">
            <v>29951816</v>
          </cell>
          <cell r="G228">
            <v>28603170</v>
          </cell>
          <cell r="H228">
            <v>306.5</v>
          </cell>
          <cell r="I228">
            <v>326.5</v>
          </cell>
          <cell r="J228">
            <v>244.5</v>
          </cell>
          <cell r="K228">
            <v>2558656</v>
          </cell>
          <cell r="L228">
            <v>16</v>
          </cell>
          <cell r="M228">
            <v>0</v>
          </cell>
          <cell r="N228">
            <v>309174</v>
          </cell>
          <cell r="O228">
            <v>332080</v>
          </cell>
          <cell r="P228">
            <v>117158</v>
          </cell>
          <cell r="Q228">
            <v>44666</v>
          </cell>
          <cell r="R228">
            <v>78210</v>
          </cell>
          <cell r="U228">
            <v>10235</v>
          </cell>
          <cell r="V228">
            <v>0</v>
          </cell>
          <cell r="W228">
            <v>348040</v>
          </cell>
          <cell r="X228">
            <v>0.2</v>
          </cell>
          <cell r="Y228">
            <v>0.26700000000000002</v>
          </cell>
          <cell r="Z228">
            <v>66</v>
          </cell>
          <cell r="AA228">
            <v>57</v>
          </cell>
          <cell r="AB228">
            <v>0.13109999999999999</v>
          </cell>
          <cell r="AC228">
            <v>0</v>
          </cell>
          <cell r="AD228">
            <v>0</v>
          </cell>
        </row>
        <row r="229">
          <cell r="A229">
            <v>445</v>
          </cell>
          <cell r="B229" t="str">
            <v>445 - Coffeyville</v>
          </cell>
          <cell r="C229" t="str">
            <v>Montgomery</v>
          </cell>
          <cell r="D229">
            <v>174980387</v>
          </cell>
          <cell r="E229">
            <v>162865977</v>
          </cell>
          <cell r="F229">
            <v>205735565</v>
          </cell>
          <cell r="G229">
            <v>193607316</v>
          </cell>
          <cell r="H229">
            <v>1787.2</v>
          </cell>
          <cell r="I229">
            <v>1780.7</v>
          </cell>
          <cell r="J229">
            <v>120</v>
          </cell>
          <cell r="K229">
            <v>11833047</v>
          </cell>
          <cell r="L229">
            <v>124</v>
          </cell>
          <cell r="M229">
            <v>0</v>
          </cell>
          <cell r="N229">
            <v>1381629</v>
          </cell>
          <cell r="O229">
            <v>1478842</v>
          </cell>
          <cell r="P229">
            <v>561847</v>
          </cell>
          <cell r="Q229">
            <v>212827</v>
          </cell>
          <cell r="R229">
            <v>372659</v>
          </cell>
          <cell r="U229">
            <v>77939</v>
          </cell>
          <cell r="V229">
            <v>0</v>
          </cell>
          <cell r="W229">
            <v>1548644</v>
          </cell>
          <cell r="X229">
            <v>0.60499999999999998</v>
          </cell>
          <cell r="Y229">
            <v>0.60699999999999998</v>
          </cell>
          <cell r="Z229">
            <v>1099</v>
          </cell>
          <cell r="AA229">
            <v>292</v>
          </cell>
          <cell r="AB229">
            <v>0</v>
          </cell>
          <cell r="AC229">
            <v>0</v>
          </cell>
          <cell r="AD229">
            <v>0</v>
          </cell>
        </row>
        <row r="230">
          <cell r="A230">
            <v>446</v>
          </cell>
          <cell r="B230" t="str">
            <v>446 - Independence</v>
          </cell>
          <cell r="C230" t="str">
            <v>Montgomery</v>
          </cell>
          <cell r="D230">
            <v>106012042</v>
          </cell>
          <cell r="E230">
            <v>93928488</v>
          </cell>
          <cell r="F230">
            <v>103067808</v>
          </cell>
          <cell r="G230">
            <v>90929502</v>
          </cell>
          <cell r="H230">
            <v>1822.7</v>
          </cell>
          <cell r="I230">
            <v>1791.2</v>
          </cell>
          <cell r="J230">
            <v>210.9</v>
          </cell>
          <cell r="K230">
            <v>11101159</v>
          </cell>
          <cell r="L230">
            <v>117</v>
          </cell>
          <cell r="M230">
            <v>0</v>
          </cell>
          <cell r="N230">
            <v>1200747</v>
          </cell>
          <cell r="O230">
            <v>1288932</v>
          </cell>
          <cell r="P230">
            <v>538385</v>
          </cell>
          <cell r="Q230">
            <v>200762</v>
          </cell>
          <cell r="R230">
            <v>351534</v>
          </cell>
          <cell r="U230">
            <v>397639</v>
          </cell>
          <cell r="V230">
            <v>0</v>
          </cell>
          <cell r="W230">
            <v>1410849</v>
          </cell>
          <cell r="X230">
            <v>0.49399999999999999</v>
          </cell>
          <cell r="Y230">
            <v>0.48199999999999998</v>
          </cell>
          <cell r="Z230">
            <v>907</v>
          </cell>
          <cell r="AA230">
            <v>235</v>
          </cell>
          <cell r="AB230">
            <v>0.45390000000000003</v>
          </cell>
          <cell r="AC230">
            <v>7.0000000000000007E-2</v>
          </cell>
          <cell r="AD230">
            <v>0.27</v>
          </cell>
        </row>
        <row r="231">
          <cell r="A231">
            <v>447</v>
          </cell>
          <cell r="B231" t="str">
            <v>447 - Cherryvale</v>
          </cell>
          <cell r="C231" t="str">
            <v>Montgomery</v>
          </cell>
          <cell r="D231">
            <v>27430124</v>
          </cell>
          <cell r="E231">
            <v>23670370</v>
          </cell>
          <cell r="F231">
            <v>22734146</v>
          </cell>
          <cell r="G231">
            <v>18957288</v>
          </cell>
          <cell r="H231">
            <v>747.4</v>
          </cell>
          <cell r="I231">
            <v>783.5</v>
          </cell>
          <cell r="J231">
            <v>140</v>
          </cell>
          <cell r="K231">
            <v>6370460</v>
          </cell>
          <cell r="L231">
            <v>34</v>
          </cell>
          <cell r="M231">
            <v>0</v>
          </cell>
          <cell r="N231">
            <v>515246</v>
          </cell>
          <cell r="O231">
            <v>553281</v>
          </cell>
          <cell r="P231">
            <v>303194</v>
          </cell>
          <cell r="Q231">
            <v>116287</v>
          </cell>
          <cell r="R231">
            <v>203619</v>
          </cell>
          <cell r="U231">
            <v>273678</v>
          </cell>
          <cell r="V231">
            <v>0</v>
          </cell>
          <cell r="W231">
            <v>609546</v>
          </cell>
          <cell r="X231">
            <v>0.51</v>
          </cell>
          <cell r="Y231">
            <v>0.48899999999999999</v>
          </cell>
          <cell r="Z231">
            <v>406</v>
          </cell>
          <cell r="AA231">
            <v>117</v>
          </cell>
          <cell r="AB231">
            <v>0.77100000000000002</v>
          </cell>
          <cell r="AC231">
            <v>0.43</v>
          </cell>
          <cell r="AD231">
            <v>0.63</v>
          </cell>
        </row>
        <row r="232">
          <cell r="A232">
            <v>448</v>
          </cell>
          <cell r="B232" t="str">
            <v>448 - Inman</v>
          </cell>
          <cell r="C232" t="str">
            <v>McPherson</v>
          </cell>
          <cell r="D232">
            <v>26231561</v>
          </cell>
          <cell r="E232">
            <v>24169198</v>
          </cell>
          <cell r="F232">
            <v>27811112</v>
          </cell>
          <cell r="G232">
            <v>25739322</v>
          </cell>
          <cell r="H232">
            <v>449.5</v>
          </cell>
          <cell r="I232">
            <v>408.5</v>
          </cell>
          <cell r="J232">
            <v>144</v>
          </cell>
          <cell r="K232">
            <v>3314560</v>
          </cell>
          <cell r="L232">
            <v>35</v>
          </cell>
          <cell r="M232">
            <v>0</v>
          </cell>
          <cell r="N232">
            <v>424357</v>
          </cell>
          <cell r="O232">
            <v>468274</v>
          </cell>
          <cell r="P232">
            <v>154768</v>
          </cell>
          <cell r="Q232">
            <v>58478</v>
          </cell>
          <cell r="R232">
            <v>102394</v>
          </cell>
          <cell r="U232">
            <v>111637</v>
          </cell>
          <cell r="V232">
            <v>0</v>
          </cell>
          <cell r="W232">
            <v>403182</v>
          </cell>
          <cell r="X232">
            <v>0.11600000000000001</v>
          </cell>
          <cell r="Y232">
            <v>0.13600000000000001</v>
          </cell>
          <cell r="Z232">
            <v>53</v>
          </cell>
          <cell r="AA232">
            <v>23</v>
          </cell>
          <cell r="AB232">
            <v>0.3609</v>
          </cell>
          <cell r="AC232">
            <v>0</v>
          </cell>
          <cell r="AD232">
            <v>0.17</v>
          </cell>
        </row>
        <row r="233">
          <cell r="A233">
            <v>449</v>
          </cell>
          <cell r="B233" t="str">
            <v>449 - Easton</v>
          </cell>
          <cell r="C233" t="str">
            <v>Leavenworth</v>
          </cell>
          <cell r="D233">
            <v>30337785</v>
          </cell>
          <cell r="E233">
            <v>27279932</v>
          </cell>
          <cell r="F233">
            <v>31326429</v>
          </cell>
          <cell r="G233">
            <v>28250936</v>
          </cell>
          <cell r="H233">
            <v>698.7</v>
          </cell>
          <cell r="I233">
            <v>679.6</v>
          </cell>
          <cell r="J233">
            <v>117</v>
          </cell>
          <cell r="K233">
            <v>5012588</v>
          </cell>
          <cell r="L233">
            <v>59</v>
          </cell>
          <cell r="M233">
            <v>0</v>
          </cell>
          <cell r="N233">
            <v>634429</v>
          </cell>
          <cell r="O233">
            <v>618736</v>
          </cell>
          <cell r="P233">
            <v>232392</v>
          </cell>
          <cell r="Q233">
            <v>89992</v>
          </cell>
          <cell r="R233">
            <v>157576</v>
          </cell>
          <cell r="U233">
            <v>218726</v>
          </cell>
          <cell r="V233">
            <v>0</v>
          </cell>
          <cell r="W233">
            <v>742094</v>
          </cell>
          <cell r="X233">
            <v>0.20599999999999999</v>
          </cell>
          <cell r="Y233">
            <v>0.19</v>
          </cell>
          <cell r="Z233">
            <v>144</v>
          </cell>
          <cell r="AA233">
            <v>83</v>
          </cell>
          <cell r="AB233">
            <v>0.55779999999999996</v>
          </cell>
          <cell r="AC233">
            <v>0.18</v>
          </cell>
          <cell r="AD233">
            <v>0.38</v>
          </cell>
        </row>
        <row r="234">
          <cell r="A234">
            <v>450</v>
          </cell>
          <cell r="B234" t="str">
            <v>450 - Shawnee Heights</v>
          </cell>
          <cell r="C234" t="str">
            <v>Shawnee</v>
          </cell>
          <cell r="D234">
            <v>171329674</v>
          </cell>
          <cell r="E234">
            <v>154633274</v>
          </cell>
          <cell r="F234">
            <v>174918152</v>
          </cell>
          <cell r="G234">
            <v>158115691</v>
          </cell>
          <cell r="H234">
            <v>3403</v>
          </cell>
          <cell r="I234">
            <v>3397.7</v>
          </cell>
          <cell r="J234">
            <v>140</v>
          </cell>
          <cell r="K234">
            <v>19674764</v>
          </cell>
          <cell r="L234">
            <v>308</v>
          </cell>
          <cell r="M234">
            <v>0</v>
          </cell>
          <cell r="N234">
            <v>2645519</v>
          </cell>
          <cell r="O234">
            <v>2692531</v>
          </cell>
          <cell r="P234">
            <v>931645</v>
          </cell>
          <cell r="Q234">
            <v>344464</v>
          </cell>
          <cell r="R234">
            <v>603156</v>
          </cell>
          <cell r="U234">
            <v>778176</v>
          </cell>
          <cell r="V234">
            <v>0.26</v>
          </cell>
          <cell r="W234">
            <v>3011455</v>
          </cell>
          <cell r="X234">
            <v>0.24099999999999999</v>
          </cell>
          <cell r="Y234">
            <v>0.23400000000000001</v>
          </cell>
          <cell r="Z234">
            <v>821</v>
          </cell>
          <cell r="AA234">
            <v>314</v>
          </cell>
          <cell r="AB234">
            <v>0.50609999999999999</v>
          </cell>
          <cell r="AC234">
            <v>0.12</v>
          </cell>
          <cell r="AD234">
            <v>0.32</v>
          </cell>
        </row>
        <row r="235">
          <cell r="A235">
            <v>452</v>
          </cell>
          <cell r="B235" t="str">
            <v>452 - Stanton County</v>
          </cell>
          <cell r="C235" t="str">
            <v>Stanton</v>
          </cell>
          <cell r="D235">
            <v>105445284</v>
          </cell>
          <cell r="E235">
            <v>103667185</v>
          </cell>
          <cell r="F235">
            <v>74371179</v>
          </cell>
          <cell r="G235">
            <v>72588970</v>
          </cell>
          <cell r="H235">
            <v>451</v>
          </cell>
          <cell r="I235">
            <v>463.6</v>
          </cell>
          <cell r="J235">
            <v>690</v>
          </cell>
          <cell r="K235">
            <v>3753536</v>
          </cell>
          <cell r="L235">
            <v>33</v>
          </cell>
          <cell r="M235">
            <v>0</v>
          </cell>
          <cell r="N235">
            <v>233755</v>
          </cell>
          <cell r="O235">
            <v>253121</v>
          </cell>
          <cell r="P235">
            <v>177902</v>
          </cell>
          <cell r="Q235">
            <v>70905</v>
          </cell>
          <cell r="R235">
            <v>124154</v>
          </cell>
          <cell r="V235">
            <v>0</v>
          </cell>
          <cell r="W235">
            <v>289235</v>
          </cell>
          <cell r="X235">
            <v>0.46600000000000003</v>
          </cell>
          <cell r="Y235">
            <v>0.47599999999999998</v>
          </cell>
          <cell r="Z235">
            <v>220</v>
          </cell>
          <cell r="AA235">
            <v>85</v>
          </cell>
          <cell r="AB235">
            <v>0</v>
          </cell>
          <cell r="AC235">
            <v>0</v>
          </cell>
          <cell r="AD235">
            <v>0</v>
          </cell>
        </row>
        <row r="236">
          <cell r="A236">
            <v>453</v>
          </cell>
          <cell r="B236" t="str">
            <v>453 - Leavenworth</v>
          </cell>
          <cell r="C236" t="str">
            <v>Leavenworth</v>
          </cell>
          <cell r="D236">
            <v>192772925</v>
          </cell>
          <cell r="E236">
            <v>171370785</v>
          </cell>
          <cell r="F236">
            <v>189395930</v>
          </cell>
          <cell r="G236">
            <v>168015316</v>
          </cell>
          <cell r="H236">
            <v>3568.3</v>
          </cell>
          <cell r="I236">
            <v>3387</v>
          </cell>
          <cell r="J236">
            <v>17</v>
          </cell>
          <cell r="K236">
            <v>24676329</v>
          </cell>
          <cell r="L236">
            <v>252</v>
          </cell>
          <cell r="M236">
            <v>0</v>
          </cell>
          <cell r="N236">
            <v>3635017</v>
          </cell>
          <cell r="O236">
            <v>3835165</v>
          </cell>
          <cell r="P236">
            <v>1142542</v>
          </cell>
          <cell r="Q236">
            <v>429390</v>
          </cell>
          <cell r="R236">
            <v>751861</v>
          </cell>
          <cell r="U236">
            <v>946467</v>
          </cell>
          <cell r="V236">
            <v>0</v>
          </cell>
          <cell r="W236">
            <v>3833833</v>
          </cell>
          <cell r="X236">
            <v>0.51100000000000001</v>
          </cell>
          <cell r="Y236">
            <v>0.5</v>
          </cell>
          <cell r="Z236">
            <v>1869</v>
          </cell>
          <cell r="AA236">
            <v>323</v>
          </cell>
          <cell r="AB236">
            <v>0.48649999999999999</v>
          </cell>
          <cell r="AC236">
            <v>0.1</v>
          </cell>
          <cell r="AD236">
            <v>0.3</v>
          </cell>
        </row>
        <row r="237">
          <cell r="A237">
            <v>454</v>
          </cell>
          <cell r="B237" t="str">
            <v>454 - Burlingame</v>
          </cell>
          <cell r="C237" t="str">
            <v>Osage</v>
          </cell>
          <cell r="D237">
            <v>11149849</v>
          </cell>
          <cell r="E237">
            <v>9481322</v>
          </cell>
          <cell r="F237">
            <v>11326063</v>
          </cell>
          <cell r="G237">
            <v>9654224</v>
          </cell>
          <cell r="H237">
            <v>312.5</v>
          </cell>
          <cell r="I237">
            <v>337</v>
          </cell>
          <cell r="J237">
            <v>74</v>
          </cell>
          <cell r="K237">
            <v>2637003</v>
          </cell>
          <cell r="L237">
            <v>16</v>
          </cell>
          <cell r="M237">
            <v>0</v>
          </cell>
          <cell r="N237">
            <v>349012</v>
          </cell>
          <cell r="O237">
            <v>332273</v>
          </cell>
          <cell r="P237">
            <v>121662</v>
          </cell>
          <cell r="Q237">
            <v>45737</v>
          </cell>
          <cell r="R237">
            <v>80085</v>
          </cell>
          <cell r="U237">
            <v>84153</v>
          </cell>
          <cell r="V237">
            <v>0</v>
          </cell>
          <cell r="W237">
            <v>386535</v>
          </cell>
          <cell r="X237">
            <v>0.34499999999999997</v>
          </cell>
          <cell r="Y237">
            <v>0.29699999999999999</v>
          </cell>
          <cell r="Z237">
            <v>117</v>
          </cell>
          <cell r="AA237">
            <v>44</v>
          </cell>
          <cell r="AB237">
            <v>0.68020000000000003</v>
          </cell>
          <cell r="AC237">
            <v>0.31</v>
          </cell>
          <cell r="AD237">
            <v>0.51</v>
          </cell>
        </row>
        <row r="238">
          <cell r="A238">
            <v>456</v>
          </cell>
          <cell r="B238" t="str">
            <v>456 - Marais Des Cygnes</v>
          </cell>
          <cell r="C238" t="str">
            <v>Osage</v>
          </cell>
          <cell r="D238">
            <v>14677559</v>
          </cell>
          <cell r="E238">
            <v>13099029</v>
          </cell>
          <cell r="F238">
            <v>15265614</v>
          </cell>
          <cell r="G238">
            <v>13692174</v>
          </cell>
          <cell r="H238">
            <v>266</v>
          </cell>
          <cell r="I238">
            <v>259</v>
          </cell>
          <cell r="J238">
            <v>133</v>
          </cell>
          <cell r="K238">
            <v>2388184</v>
          </cell>
          <cell r="L238">
            <v>4</v>
          </cell>
          <cell r="M238">
            <v>0</v>
          </cell>
          <cell r="N238">
            <v>281117</v>
          </cell>
          <cell r="O238">
            <v>281823</v>
          </cell>
          <cell r="P238">
            <v>119673</v>
          </cell>
          <cell r="Q238">
            <v>44102</v>
          </cell>
          <cell r="R238">
            <v>77222</v>
          </cell>
          <cell r="U238">
            <v>48962</v>
          </cell>
          <cell r="V238">
            <v>0</v>
          </cell>
          <cell r="W238">
            <v>341448</v>
          </cell>
          <cell r="X238">
            <v>0.49199999999999999</v>
          </cell>
          <cell r="Y238">
            <v>0.51500000000000001</v>
          </cell>
          <cell r="Z238">
            <v>131</v>
          </cell>
          <cell r="AA238">
            <v>33</v>
          </cell>
          <cell r="AB238">
            <v>0.4345</v>
          </cell>
          <cell r="AC238">
            <v>0.05</v>
          </cell>
          <cell r="AD238">
            <v>0.25</v>
          </cell>
        </row>
        <row r="239">
          <cell r="A239">
            <v>457</v>
          </cell>
          <cell r="B239" t="str">
            <v>457 - Garden City</v>
          </cell>
          <cell r="C239" t="str">
            <v>Finney</v>
          </cell>
          <cell r="D239">
            <v>315393821</v>
          </cell>
          <cell r="E239">
            <v>294099641</v>
          </cell>
          <cell r="F239">
            <v>289358589</v>
          </cell>
          <cell r="G239">
            <v>268028284</v>
          </cell>
          <cell r="H239">
            <v>6835.8</v>
          </cell>
          <cell r="I239">
            <v>6926.7</v>
          </cell>
          <cell r="J239">
            <v>928</v>
          </cell>
          <cell r="K239">
            <v>47433370</v>
          </cell>
          <cell r="L239">
            <v>436</v>
          </cell>
          <cell r="M239">
            <v>0</v>
          </cell>
          <cell r="N239">
            <v>4914498</v>
          </cell>
          <cell r="O239">
            <v>5156948</v>
          </cell>
          <cell r="P239">
            <v>2173174</v>
          </cell>
          <cell r="Q239">
            <v>846966</v>
          </cell>
          <cell r="R239">
            <v>1483035</v>
          </cell>
          <cell r="U239">
            <v>1140856</v>
          </cell>
          <cell r="V239">
            <v>0</v>
          </cell>
          <cell r="W239">
            <v>5361952</v>
          </cell>
          <cell r="X239">
            <v>0.60099999999999998</v>
          </cell>
          <cell r="Y239">
            <v>0.59799999999999998</v>
          </cell>
          <cell r="Z239">
            <v>4220</v>
          </cell>
          <cell r="AA239">
            <v>1083</v>
          </cell>
          <cell r="AB239">
            <v>0.60470000000000002</v>
          </cell>
          <cell r="AC239">
            <v>0.23</v>
          </cell>
          <cell r="AD239">
            <v>0.43</v>
          </cell>
        </row>
        <row r="240">
          <cell r="A240">
            <v>458</v>
          </cell>
          <cell r="B240" t="str">
            <v>458 - Basehor-Linwood</v>
          </cell>
          <cell r="C240" t="str">
            <v>Leavenworth</v>
          </cell>
          <cell r="D240">
            <v>126740150</v>
          </cell>
          <cell r="E240">
            <v>116819291</v>
          </cell>
          <cell r="F240">
            <v>127486475</v>
          </cell>
          <cell r="G240">
            <v>117471811</v>
          </cell>
          <cell r="H240">
            <v>1807.3</v>
          </cell>
          <cell r="I240">
            <v>1858.8</v>
          </cell>
          <cell r="J240">
            <v>89.6</v>
          </cell>
          <cell r="K240">
            <v>12211787</v>
          </cell>
          <cell r="L240">
            <v>46</v>
          </cell>
          <cell r="M240">
            <v>0</v>
          </cell>
          <cell r="N240">
            <v>1381125</v>
          </cell>
          <cell r="O240">
            <v>1437238</v>
          </cell>
          <cell r="P240">
            <v>546497</v>
          </cell>
          <cell r="Q240">
            <v>211981</v>
          </cell>
          <cell r="R240">
            <v>371178</v>
          </cell>
          <cell r="U240">
            <v>409112</v>
          </cell>
          <cell r="V240">
            <v>3.52</v>
          </cell>
          <cell r="W240">
            <v>1552609</v>
          </cell>
          <cell r="X240">
            <v>0.13900000000000001</v>
          </cell>
          <cell r="Y240">
            <v>0.13200000000000001</v>
          </cell>
          <cell r="Z240">
            <v>259</v>
          </cell>
          <cell r="AA240">
            <v>123</v>
          </cell>
          <cell r="AB240">
            <v>0.42809999999999998</v>
          </cell>
          <cell r="AC240">
            <v>0.04</v>
          </cell>
          <cell r="AD240">
            <v>0.24</v>
          </cell>
        </row>
        <row r="241">
          <cell r="A241">
            <v>459</v>
          </cell>
          <cell r="B241" t="str">
            <v>459 - Bucklin</v>
          </cell>
          <cell r="C241" t="str">
            <v>Ford</v>
          </cell>
          <cell r="D241">
            <v>28269758</v>
          </cell>
          <cell r="E241">
            <v>26905058</v>
          </cell>
          <cell r="F241">
            <v>28505222</v>
          </cell>
          <cell r="G241">
            <v>27146679</v>
          </cell>
          <cell r="H241">
            <v>243.2</v>
          </cell>
          <cell r="I241">
            <v>239.7</v>
          </cell>
          <cell r="J241">
            <v>358.2</v>
          </cell>
          <cell r="K241">
            <v>2110232</v>
          </cell>
          <cell r="L241">
            <v>14</v>
          </cell>
          <cell r="M241">
            <v>0</v>
          </cell>
          <cell r="N241">
            <v>165839</v>
          </cell>
          <cell r="O241">
            <v>177946</v>
          </cell>
          <cell r="P241">
            <v>99512</v>
          </cell>
          <cell r="Q241">
            <v>37764</v>
          </cell>
          <cell r="R241">
            <v>66124</v>
          </cell>
          <cell r="U241">
            <v>0</v>
          </cell>
          <cell r="V241">
            <v>0</v>
          </cell>
          <cell r="W241">
            <v>197927</v>
          </cell>
          <cell r="X241">
            <v>0.46100000000000002</v>
          </cell>
          <cell r="Y241">
            <v>0.38800000000000001</v>
          </cell>
          <cell r="Z241">
            <v>114</v>
          </cell>
          <cell r="AA241">
            <v>42</v>
          </cell>
          <cell r="AB241">
            <v>0</v>
          </cell>
          <cell r="AC241">
            <v>0</v>
          </cell>
          <cell r="AD241">
            <v>0</v>
          </cell>
        </row>
        <row r="242">
          <cell r="A242">
            <v>460</v>
          </cell>
          <cell r="B242" t="str">
            <v>460 - Hesston</v>
          </cell>
          <cell r="C242" t="str">
            <v>Harvey</v>
          </cell>
          <cell r="D242">
            <v>35700366</v>
          </cell>
          <cell r="E242">
            <v>32760982</v>
          </cell>
          <cell r="F242">
            <v>36474944</v>
          </cell>
          <cell r="G242">
            <v>33510806</v>
          </cell>
          <cell r="H242">
            <v>812</v>
          </cell>
          <cell r="I242">
            <v>818.6</v>
          </cell>
          <cell r="J242">
            <v>60</v>
          </cell>
          <cell r="K242">
            <v>5361800</v>
          </cell>
          <cell r="L242">
            <v>28</v>
          </cell>
          <cell r="M242">
            <v>0</v>
          </cell>
          <cell r="N242">
            <v>579054</v>
          </cell>
          <cell r="O242">
            <v>637857</v>
          </cell>
          <cell r="P242">
            <v>255111</v>
          </cell>
          <cell r="Q242">
            <v>95340</v>
          </cell>
          <cell r="R242">
            <v>166939</v>
          </cell>
          <cell r="U242">
            <v>235662</v>
          </cell>
          <cell r="V242">
            <v>0</v>
          </cell>
          <cell r="W242">
            <v>642823</v>
          </cell>
          <cell r="X242">
            <v>0.217</v>
          </cell>
          <cell r="Y242">
            <v>0.20899999999999999</v>
          </cell>
          <cell r="Z242">
            <v>178</v>
          </cell>
          <cell r="AA242">
            <v>121</v>
          </cell>
          <cell r="AB242">
            <v>0.57640000000000002</v>
          </cell>
          <cell r="AC242">
            <v>0.2</v>
          </cell>
          <cell r="AD242">
            <v>0.4</v>
          </cell>
        </row>
        <row r="243">
          <cell r="A243">
            <v>461</v>
          </cell>
          <cell r="B243" t="str">
            <v>461 - Neodesha</v>
          </cell>
          <cell r="C243" t="str">
            <v>Wilson</v>
          </cell>
          <cell r="D243">
            <v>34867402</v>
          </cell>
          <cell r="E243">
            <v>31442953</v>
          </cell>
          <cell r="F243">
            <v>27470668</v>
          </cell>
          <cell r="G243">
            <v>24068062</v>
          </cell>
          <cell r="H243">
            <v>709.2</v>
          </cell>
          <cell r="I243">
            <v>689.5</v>
          </cell>
          <cell r="J243">
            <v>119</v>
          </cell>
          <cell r="K243">
            <v>5131486</v>
          </cell>
          <cell r="L243">
            <v>36</v>
          </cell>
          <cell r="M243">
            <v>0</v>
          </cell>
          <cell r="N243">
            <v>519872</v>
          </cell>
          <cell r="O243">
            <v>547937</v>
          </cell>
          <cell r="P243">
            <v>255701</v>
          </cell>
          <cell r="Q243">
            <v>94687</v>
          </cell>
          <cell r="R243">
            <v>165797</v>
          </cell>
          <cell r="U243">
            <v>226390</v>
          </cell>
          <cell r="V243">
            <v>0</v>
          </cell>
          <cell r="W243">
            <v>589497</v>
          </cell>
          <cell r="X243">
            <v>0.42899999999999999</v>
          </cell>
          <cell r="Y243">
            <v>0.41399999999999998</v>
          </cell>
          <cell r="Z243">
            <v>308</v>
          </cell>
          <cell r="AA243">
            <v>111</v>
          </cell>
          <cell r="AB243">
            <v>0.62209999999999999</v>
          </cell>
          <cell r="AC243">
            <v>0.25</v>
          </cell>
          <cell r="AD243">
            <v>0.45</v>
          </cell>
        </row>
        <row r="244">
          <cell r="A244">
            <v>462</v>
          </cell>
          <cell r="B244" t="str">
            <v>462 - Central</v>
          </cell>
          <cell r="C244" t="str">
            <v>Cowley</v>
          </cell>
          <cell r="D244">
            <v>11729798</v>
          </cell>
          <cell r="E244">
            <v>9804590</v>
          </cell>
          <cell r="F244">
            <v>11849133</v>
          </cell>
          <cell r="G244">
            <v>9950144</v>
          </cell>
          <cell r="H244">
            <v>347</v>
          </cell>
          <cell r="I244">
            <v>356.9</v>
          </cell>
          <cell r="J244">
            <v>308.89999999999998</v>
          </cell>
          <cell r="K244">
            <v>2899601</v>
          </cell>
          <cell r="L244">
            <v>9</v>
          </cell>
          <cell r="M244">
            <v>0</v>
          </cell>
          <cell r="N244">
            <v>247733</v>
          </cell>
          <cell r="O244">
            <v>286568</v>
          </cell>
          <cell r="P244">
            <v>134695</v>
          </cell>
          <cell r="Q244">
            <v>50086</v>
          </cell>
          <cell r="R244">
            <v>87700</v>
          </cell>
          <cell r="U244">
            <v>135566</v>
          </cell>
          <cell r="V244">
            <v>0</v>
          </cell>
          <cell r="W244">
            <v>308722</v>
          </cell>
          <cell r="X244">
            <v>0.46800000000000003</v>
          </cell>
          <cell r="Y244">
            <v>0.36899999999999999</v>
          </cell>
          <cell r="Z244">
            <v>167</v>
          </cell>
          <cell r="AA244">
            <v>45</v>
          </cell>
          <cell r="AB244">
            <v>0.68149999999999999</v>
          </cell>
          <cell r="AC244">
            <v>0.31</v>
          </cell>
          <cell r="AD244">
            <v>0.51</v>
          </cell>
        </row>
        <row r="245">
          <cell r="A245">
            <v>463</v>
          </cell>
          <cell r="B245" t="str">
            <v>463 - Udall</v>
          </cell>
          <cell r="C245" t="str">
            <v>Cowley</v>
          </cell>
          <cell r="D245">
            <v>15560650</v>
          </cell>
          <cell r="E245">
            <v>13670893</v>
          </cell>
          <cell r="F245">
            <v>15987708</v>
          </cell>
          <cell r="G245">
            <v>14102445</v>
          </cell>
          <cell r="H245">
            <v>362</v>
          </cell>
          <cell r="I245">
            <v>349</v>
          </cell>
          <cell r="J245">
            <v>140</v>
          </cell>
          <cell r="K245">
            <v>2775979</v>
          </cell>
          <cell r="L245">
            <v>25</v>
          </cell>
          <cell r="M245">
            <v>0</v>
          </cell>
          <cell r="N245">
            <v>293471</v>
          </cell>
          <cell r="O245">
            <v>322521</v>
          </cell>
          <cell r="P245">
            <v>143026</v>
          </cell>
          <cell r="Q245">
            <v>52429</v>
          </cell>
          <cell r="R245">
            <v>91804</v>
          </cell>
          <cell r="U245">
            <v>142262</v>
          </cell>
          <cell r="V245">
            <v>0</v>
          </cell>
          <cell r="W245">
            <v>371593</v>
          </cell>
          <cell r="X245">
            <v>0.3</v>
          </cell>
          <cell r="Y245">
            <v>0.25600000000000001</v>
          </cell>
          <cell r="Z245">
            <v>110</v>
          </cell>
          <cell r="AA245">
            <v>47</v>
          </cell>
          <cell r="AB245">
            <v>0.5605</v>
          </cell>
          <cell r="AC245">
            <v>0.18</v>
          </cell>
          <cell r="AD245">
            <v>0.38</v>
          </cell>
        </row>
        <row r="246">
          <cell r="A246">
            <v>464</v>
          </cell>
          <cell r="B246" t="str">
            <v>464 - Tonganoxie</v>
          </cell>
          <cell r="C246" t="str">
            <v>Leavenworth</v>
          </cell>
          <cell r="D246">
            <v>90032018</v>
          </cell>
          <cell r="E246">
            <v>81774836</v>
          </cell>
          <cell r="F246">
            <v>90896347</v>
          </cell>
          <cell r="G246">
            <v>82593122</v>
          </cell>
          <cell r="H246">
            <v>1860.9</v>
          </cell>
          <cell r="I246">
            <v>1837.8</v>
          </cell>
          <cell r="J246">
            <v>142</v>
          </cell>
          <cell r="K246">
            <v>10402341</v>
          </cell>
          <cell r="L246">
            <v>148</v>
          </cell>
          <cell r="M246">
            <v>0</v>
          </cell>
          <cell r="N246">
            <v>1224324</v>
          </cell>
          <cell r="O246">
            <v>1274599</v>
          </cell>
          <cell r="P246">
            <v>497102</v>
          </cell>
          <cell r="Q246">
            <v>186354</v>
          </cell>
          <cell r="R246">
            <v>326306</v>
          </cell>
          <cell r="U246">
            <v>396840</v>
          </cell>
          <cell r="V246">
            <v>1.07</v>
          </cell>
          <cell r="W246">
            <v>1347372</v>
          </cell>
          <cell r="X246">
            <v>0.245</v>
          </cell>
          <cell r="Y246">
            <v>0.24099999999999999</v>
          </cell>
          <cell r="Z246">
            <v>455</v>
          </cell>
          <cell r="AA246">
            <v>213</v>
          </cell>
          <cell r="AB246">
            <v>0.52549999999999997</v>
          </cell>
          <cell r="AC246">
            <v>0.14000000000000001</v>
          </cell>
          <cell r="AD246">
            <v>0.34</v>
          </cell>
        </row>
        <row r="247">
          <cell r="A247">
            <v>465</v>
          </cell>
          <cell r="B247" t="str">
            <v>465 - Winfield</v>
          </cell>
          <cell r="C247" t="str">
            <v>Cowley</v>
          </cell>
          <cell r="D247">
            <v>97538983</v>
          </cell>
          <cell r="E247">
            <v>85316964</v>
          </cell>
          <cell r="F247">
            <v>95016872</v>
          </cell>
          <cell r="G247">
            <v>82813749</v>
          </cell>
          <cell r="H247">
            <v>2332.1</v>
          </cell>
          <cell r="I247">
            <v>2329.3000000000002</v>
          </cell>
          <cell r="J247">
            <v>262</v>
          </cell>
          <cell r="K247">
            <v>14635798</v>
          </cell>
          <cell r="L247">
            <v>124</v>
          </cell>
          <cell r="M247">
            <v>0</v>
          </cell>
          <cell r="N247">
            <v>1899904</v>
          </cell>
          <cell r="O247">
            <v>2054345</v>
          </cell>
          <cell r="P247">
            <v>683313</v>
          </cell>
          <cell r="Q247">
            <v>252620</v>
          </cell>
          <cell r="R247">
            <v>442337</v>
          </cell>
          <cell r="U247">
            <v>687126</v>
          </cell>
          <cell r="V247">
            <v>0</v>
          </cell>
          <cell r="W247">
            <v>2187665</v>
          </cell>
          <cell r="X247">
            <v>0.45200000000000001</v>
          </cell>
          <cell r="Y247">
            <v>0.39</v>
          </cell>
          <cell r="Z247">
            <v>1072</v>
          </cell>
          <cell r="AA247">
            <v>299</v>
          </cell>
          <cell r="AB247">
            <v>0.61370000000000002</v>
          </cell>
          <cell r="AC247">
            <v>0.24</v>
          </cell>
          <cell r="AD247">
            <v>0.44</v>
          </cell>
        </row>
        <row r="248">
          <cell r="A248">
            <v>466</v>
          </cell>
          <cell r="B248" t="str">
            <v>466 - Scott County</v>
          </cell>
          <cell r="C248" t="str">
            <v>Scott</v>
          </cell>
          <cell r="D248">
            <v>77189904</v>
          </cell>
          <cell r="E248">
            <v>72659056</v>
          </cell>
          <cell r="F248">
            <v>81029119</v>
          </cell>
          <cell r="G248">
            <v>76483060</v>
          </cell>
          <cell r="H248">
            <v>835.7</v>
          </cell>
          <cell r="I248">
            <v>824.9</v>
          </cell>
          <cell r="J248">
            <v>756</v>
          </cell>
          <cell r="K248">
            <v>5984240</v>
          </cell>
          <cell r="L248">
            <v>49</v>
          </cell>
          <cell r="M248">
            <v>0</v>
          </cell>
          <cell r="N248">
            <v>434090</v>
          </cell>
          <cell r="O248">
            <v>436823</v>
          </cell>
          <cell r="P248">
            <v>297596</v>
          </cell>
          <cell r="Q248">
            <v>111093</v>
          </cell>
          <cell r="R248">
            <v>194523</v>
          </cell>
          <cell r="U248">
            <v>36971</v>
          </cell>
          <cell r="V248">
            <v>0</v>
          </cell>
          <cell r="W248">
            <v>535429</v>
          </cell>
          <cell r="X248">
            <v>0.40200000000000002</v>
          </cell>
          <cell r="Y248">
            <v>0.38300000000000001</v>
          </cell>
          <cell r="Z248">
            <v>342</v>
          </cell>
          <cell r="AA248">
            <v>131</v>
          </cell>
          <cell r="AB248">
            <v>0.10100000000000001</v>
          </cell>
          <cell r="AC248">
            <v>0</v>
          </cell>
          <cell r="AD248">
            <v>0</v>
          </cell>
        </row>
        <row r="249">
          <cell r="A249">
            <v>467</v>
          </cell>
          <cell r="B249" t="str">
            <v>467 - Leoti</v>
          </cell>
          <cell r="C249" t="str">
            <v>Wichita</v>
          </cell>
          <cell r="D249">
            <v>28009747</v>
          </cell>
          <cell r="E249">
            <v>26011255</v>
          </cell>
          <cell r="F249">
            <v>27110699</v>
          </cell>
          <cell r="G249">
            <v>25119613</v>
          </cell>
          <cell r="H249">
            <v>421.5</v>
          </cell>
          <cell r="I249">
            <v>410.5</v>
          </cell>
          <cell r="J249">
            <v>776.3</v>
          </cell>
          <cell r="K249">
            <v>3443694</v>
          </cell>
          <cell r="L249">
            <v>14</v>
          </cell>
          <cell r="M249">
            <v>0</v>
          </cell>
          <cell r="N249">
            <v>226899</v>
          </cell>
          <cell r="O249">
            <v>228657</v>
          </cell>
          <cell r="P249">
            <v>171889</v>
          </cell>
          <cell r="Q249">
            <v>63817</v>
          </cell>
          <cell r="R249">
            <v>111744</v>
          </cell>
          <cell r="U249">
            <v>85759</v>
          </cell>
          <cell r="V249">
            <v>0</v>
          </cell>
          <cell r="W249">
            <v>278906</v>
          </cell>
          <cell r="X249">
            <v>0.46800000000000003</v>
          </cell>
          <cell r="Y249">
            <v>0.437</v>
          </cell>
          <cell r="Z249">
            <v>202</v>
          </cell>
          <cell r="AA249">
            <v>65</v>
          </cell>
          <cell r="AB249">
            <v>0.38140000000000002</v>
          </cell>
          <cell r="AC249">
            <v>0</v>
          </cell>
          <cell r="AD249">
            <v>0.19</v>
          </cell>
        </row>
        <row r="250">
          <cell r="A250">
            <v>468</v>
          </cell>
          <cell r="B250" t="str">
            <v>468 - Healy</v>
          </cell>
          <cell r="C250" t="str">
            <v>Lane</v>
          </cell>
          <cell r="D250">
            <v>7423635</v>
          </cell>
          <cell r="E250">
            <v>7094422</v>
          </cell>
          <cell r="F250">
            <v>14687838</v>
          </cell>
          <cell r="G250">
            <v>14347988</v>
          </cell>
          <cell r="H250">
            <v>92.5</v>
          </cell>
          <cell r="I250">
            <v>74</v>
          </cell>
          <cell r="J250">
            <v>203.3</v>
          </cell>
          <cell r="K250">
            <v>936612</v>
          </cell>
          <cell r="L250">
            <v>5</v>
          </cell>
          <cell r="M250">
            <v>0</v>
          </cell>
          <cell r="N250">
            <v>89044</v>
          </cell>
          <cell r="O250">
            <v>95123</v>
          </cell>
          <cell r="P250">
            <v>45503</v>
          </cell>
          <cell r="Q250">
            <v>17936</v>
          </cell>
          <cell r="R250">
            <v>31405</v>
          </cell>
          <cell r="U250">
            <v>0</v>
          </cell>
          <cell r="V250">
            <v>0</v>
          </cell>
          <cell r="W250">
            <v>115125</v>
          </cell>
          <cell r="X250">
            <v>0.314</v>
          </cell>
          <cell r="Y250">
            <v>0.4</v>
          </cell>
          <cell r="Z250">
            <v>29</v>
          </cell>
          <cell r="AA250">
            <v>12</v>
          </cell>
          <cell r="AB250">
            <v>0</v>
          </cell>
          <cell r="AC250">
            <v>0</v>
          </cell>
          <cell r="AD250">
            <v>0</v>
          </cell>
        </row>
        <row r="251">
          <cell r="A251">
            <v>469</v>
          </cell>
          <cell r="B251" t="str">
            <v>469 - Lansing</v>
          </cell>
          <cell r="C251" t="str">
            <v>Leavenworth</v>
          </cell>
          <cell r="D251">
            <v>111948738</v>
          </cell>
          <cell r="E251">
            <v>102756860</v>
          </cell>
          <cell r="F251">
            <v>116452928</v>
          </cell>
          <cell r="G251">
            <v>107100252</v>
          </cell>
          <cell r="H251">
            <v>2501.4</v>
          </cell>
          <cell r="I251">
            <v>2547.1999999999998</v>
          </cell>
          <cell r="J251">
            <v>49</v>
          </cell>
          <cell r="K251">
            <v>13381076</v>
          </cell>
          <cell r="L251">
            <v>218</v>
          </cell>
          <cell r="M251">
            <v>0</v>
          </cell>
          <cell r="N251">
            <v>1664012</v>
          </cell>
          <cell r="O251">
            <v>1778431</v>
          </cell>
          <cell r="P251">
            <v>647758</v>
          </cell>
          <cell r="Q251">
            <v>251597</v>
          </cell>
          <cell r="R251">
            <v>440546</v>
          </cell>
          <cell r="U251">
            <v>600342</v>
          </cell>
          <cell r="V251">
            <v>2.25</v>
          </cell>
          <cell r="W251">
            <v>1716493</v>
          </cell>
          <cell r="X251">
            <v>0.17499999999999999</v>
          </cell>
          <cell r="Y251">
            <v>0.16300000000000001</v>
          </cell>
          <cell r="Z251">
            <v>445</v>
          </cell>
          <cell r="AA251">
            <v>138</v>
          </cell>
          <cell r="AB251">
            <v>0.56679999999999997</v>
          </cell>
          <cell r="AC251">
            <v>0.19</v>
          </cell>
          <cell r="AD251">
            <v>0.39</v>
          </cell>
        </row>
        <row r="252">
          <cell r="A252">
            <v>470</v>
          </cell>
          <cell r="B252" t="str">
            <v>470 - Arkansas City</v>
          </cell>
          <cell r="C252" t="str">
            <v>Cowley</v>
          </cell>
          <cell r="D252">
            <v>79627865</v>
          </cell>
          <cell r="E252">
            <v>65596781</v>
          </cell>
          <cell r="F252">
            <v>79781191</v>
          </cell>
          <cell r="G252">
            <v>65827090</v>
          </cell>
          <cell r="H252">
            <v>2585.4</v>
          </cell>
          <cell r="I252">
            <v>2548.3000000000002</v>
          </cell>
          <cell r="J252">
            <v>200</v>
          </cell>
          <cell r="K252">
            <v>17436186</v>
          </cell>
          <cell r="L252">
            <v>88</v>
          </cell>
          <cell r="M252">
            <v>0</v>
          </cell>
          <cell r="N252">
            <v>1952459</v>
          </cell>
          <cell r="O252">
            <v>2136294</v>
          </cell>
          <cell r="P252">
            <v>851659</v>
          </cell>
          <cell r="Q252">
            <v>312765</v>
          </cell>
          <cell r="R252">
            <v>547650</v>
          </cell>
          <cell r="U252">
            <v>882851</v>
          </cell>
          <cell r="V252">
            <v>0</v>
          </cell>
          <cell r="W252">
            <v>2403951</v>
          </cell>
          <cell r="X252">
            <v>0.57599999999999996</v>
          </cell>
          <cell r="Y252">
            <v>0.55100000000000005</v>
          </cell>
          <cell r="Z252">
            <v>1523</v>
          </cell>
          <cell r="AA252">
            <v>303</v>
          </cell>
          <cell r="AB252">
            <v>0.70669999999999999</v>
          </cell>
          <cell r="AC252">
            <v>0.33</v>
          </cell>
          <cell r="AD252">
            <v>0.53</v>
          </cell>
        </row>
        <row r="253">
          <cell r="A253">
            <v>471</v>
          </cell>
          <cell r="B253" t="str">
            <v>471 - Dexter</v>
          </cell>
          <cell r="C253" t="str">
            <v>Cowley</v>
          </cell>
          <cell r="D253">
            <v>5953428</v>
          </cell>
          <cell r="E253">
            <v>5331602</v>
          </cell>
          <cell r="F253">
            <v>6108888</v>
          </cell>
          <cell r="G253">
            <v>5493724</v>
          </cell>
          <cell r="H253">
            <v>151.19999999999999</v>
          </cell>
          <cell r="I253">
            <v>139.30000000000001</v>
          </cell>
          <cell r="J253">
            <v>213</v>
          </cell>
          <cell r="K253">
            <v>1406296</v>
          </cell>
          <cell r="L253">
            <v>13</v>
          </cell>
          <cell r="M253">
            <v>0</v>
          </cell>
          <cell r="N253">
            <v>135534</v>
          </cell>
          <cell r="O253">
            <v>137192</v>
          </cell>
          <cell r="P253">
            <v>81670</v>
          </cell>
          <cell r="Q253">
            <v>28446</v>
          </cell>
          <cell r="R253">
            <v>49808</v>
          </cell>
          <cell r="U253">
            <v>30780</v>
          </cell>
          <cell r="V253">
            <v>0</v>
          </cell>
          <cell r="W253">
            <v>182014</v>
          </cell>
          <cell r="X253">
            <v>0.26500000000000001</v>
          </cell>
          <cell r="Y253">
            <v>0.27200000000000002</v>
          </cell>
          <cell r="Z253">
            <v>41</v>
          </cell>
          <cell r="AA253">
            <v>20</v>
          </cell>
          <cell r="AB253">
            <v>0.57930000000000004</v>
          </cell>
          <cell r="AC253">
            <v>0.2</v>
          </cell>
          <cell r="AD253">
            <v>0.4</v>
          </cell>
        </row>
        <row r="254">
          <cell r="A254">
            <v>473</v>
          </cell>
          <cell r="B254" t="str">
            <v>473 - Chapman</v>
          </cell>
          <cell r="C254" t="str">
            <v>Dickinson</v>
          </cell>
          <cell r="D254">
            <v>60154384</v>
          </cell>
          <cell r="E254">
            <v>54763050</v>
          </cell>
          <cell r="F254">
            <v>63549556</v>
          </cell>
          <cell r="G254">
            <v>58079363</v>
          </cell>
          <cell r="H254">
            <v>969.7</v>
          </cell>
          <cell r="I254">
            <v>946.3</v>
          </cell>
          <cell r="J254">
            <v>550</v>
          </cell>
          <cell r="K254">
            <v>6642113</v>
          </cell>
          <cell r="L254">
            <v>44</v>
          </cell>
          <cell r="M254">
            <v>0</v>
          </cell>
          <cell r="N254">
            <v>763151</v>
          </cell>
          <cell r="O254">
            <v>807657</v>
          </cell>
          <cell r="P254">
            <v>355126</v>
          </cell>
          <cell r="Q254">
            <v>133458</v>
          </cell>
          <cell r="R254">
            <v>233684</v>
          </cell>
          <cell r="U254">
            <v>234512</v>
          </cell>
          <cell r="V254">
            <v>0</v>
          </cell>
          <cell r="W254">
            <v>852264</v>
          </cell>
          <cell r="X254">
            <v>0.252</v>
          </cell>
          <cell r="Y254">
            <v>0.26800000000000002</v>
          </cell>
          <cell r="Z254">
            <v>249</v>
          </cell>
          <cell r="AA254">
            <v>152</v>
          </cell>
          <cell r="AB254">
            <v>0.35639999999999999</v>
          </cell>
          <cell r="AC254">
            <v>0</v>
          </cell>
          <cell r="AD254">
            <v>0.17</v>
          </cell>
        </row>
        <row r="255">
          <cell r="A255">
            <v>474</v>
          </cell>
          <cell r="B255" t="str">
            <v>474 - Haviland</v>
          </cell>
          <cell r="C255" t="str">
            <v>Kiowa</v>
          </cell>
          <cell r="D255">
            <v>20321557</v>
          </cell>
          <cell r="E255">
            <v>19681936</v>
          </cell>
          <cell r="F255">
            <v>17098706</v>
          </cell>
          <cell r="G255">
            <v>16434858</v>
          </cell>
          <cell r="H255">
            <v>141.80000000000001</v>
          </cell>
          <cell r="I255">
            <v>115.5</v>
          </cell>
          <cell r="J255">
            <v>234.9</v>
          </cell>
          <cell r="K255">
            <v>1341730</v>
          </cell>
          <cell r="L255">
            <v>2</v>
          </cell>
          <cell r="M255">
            <v>0</v>
          </cell>
          <cell r="N255">
            <v>137338</v>
          </cell>
          <cell r="O255">
            <v>159555</v>
          </cell>
          <cell r="P255">
            <v>67457</v>
          </cell>
          <cell r="Q255">
            <v>23879</v>
          </cell>
          <cell r="R255">
            <v>41812</v>
          </cell>
          <cell r="U255">
            <v>0</v>
          </cell>
          <cell r="V255">
            <v>0</v>
          </cell>
          <cell r="W255">
            <v>163745</v>
          </cell>
          <cell r="X255">
            <v>0.21199999999999999</v>
          </cell>
          <cell r="Y255">
            <v>0.24399999999999999</v>
          </cell>
          <cell r="Z255">
            <v>30</v>
          </cell>
          <cell r="AA255">
            <v>32</v>
          </cell>
          <cell r="AB255">
            <v>0</v>
          </cell>
          <cell r="AC255">
            <v>0</v>
          </cell>
          <cell r="AD255">
            <v>0</v>
          </cell>
        </row>
        <row r="256">
          <cell r="A256">
            <v>475</v>
          </cell>
          <cell r="B256" t="str">
            <v>475 - Junction City</v>
          </cell>
          <cell r="C256" t="str">
            <v>Geary</v>
          </cell>
          <cell r="D256">
            <v>200843265</v>
          </cell>
          <cell r="E256">
            <v>181303793</v>
          </cell>
          <cell r="F256">
            <v>204242194</v>
          </cell>
          <cell r="G256">
            <v>184295447</v>
          </cell>
          <cell r="H256">
            <v>7787.4</v>
          </cell>
          <cell r="I256">
            <v>7875.3</v>
          </cell>
          <cell r="J256">
            <v>262</v>
          </cell>
          <cell r="K256">
            <v>47117229</v>
          </cell>
          <cell r="L256">
            <v>482</v>
          </cell>
          <cell r="M256">
            <v>0</v>
          </cell>
          <cell r="N256">
            <v>5602670</v>
          </cell>
          <cell r="O256">
            <v>6664950</v>
          </cell>
          <cell r="P256">
            <v>2112605</v>
          </cell>
          <cell r="Q256">
            <v>811562</v>
          </cell>
          <cell r="R256">
            <v>1421043</v>
          </cell>
          <cell r="U256">
            <v>2054583</v>
          </cell>
          <cell r="V256">
            <v>0</v>
          </cell>
          <cell r="W256">
            <v>6169799</v>
          </cell>
          <cell r="X256">
            <v>0.35499999999999998</v>
          </cell>
          <cell r="Y256">
            <v>0.36199999999999999</v>
          </cell>
          <cell r="Z256">
            <v>2909</v>
          </cell>
          <cell r="AA256">
            <v>1887</v>
          </cell>
          <cell r="AB256">
            <v>0.76659999999999995</v>
          </cell>
          <cell r="AC256">
            <v>0.4</v>
          </cell>
          <cell r="AD256">
            <v>0.6</v>
          </cell>
        </row>
        <row r="257">
          <cell r="A257">
            <v>476</v>
          </cell>
          <cell r="B257" t="str">
            <v>476 - Copeland</v>
          </cell>
          <cell r="C257" t="str">
            <v>Gray</v>
          </cell>
          <cell r="D257">
            <v>11955670</v>
          </cell>
          <cell r="E257">
            <v>11307501</v>
          </cell>
          <cell r="F257">
            <v>10959679</v>
          </cell>
          <cell r="G257">
            <v>10310613</v>
          </cell>
          <cell r="H257">
            <v>120</v>
          </cell>
          <cell r="I257">
            <v>111.8</v>
          </cell>
          <cell r="J257">
            <v>200</v>
          </cell>
          <cell r="K257">
            <v>1288580</v>
          </cell>
          <cell r="L257">
            <v>13</v>
          </cell>
          <cell r="M257">
            <v>0</v>
          </cell>
          <cell r="N257">
            <v>74257</v>
          </cell>
          <cell r="O257">
            <v>65663</v>
          </cell>
          <cell r="P257">
            <v>70605</v>
          </cell>
          <cell r="Q257">
            <v>24950</v>
          </cell>
          <cell r="R257">
            <v>43688</v>
          </cell>
          <cell r="U257">
            <v>8207</v>
          </cell>
          <cell r="V257">
            <v>0</v>
          </cell>
          <cell r="W257">
            <v>102150</v>
          </cell>
          <cell r="X257">
            <v>0.36599999999999999</v>
          </cell>
          <cell r="Y257">
            <v>0.47199999999999998</v>
          </cell>
          <cell r="Z257">
            <v>45</v>
          </cell>
          <cell r="AA257">
            <v>24</v>
          </cell>
          <cell r="AB257">
            <v>7.5999999999999998E-2</v>
          </cell>
          <cell r="AC257">
            <v>0</v>
          </cell>
          <cell r="AD257">
            <v>0</v>
          </cell>
        </row>
        <row r="258">
          <cell r="A258">
            <v>477</v>
          </cell>
          <cell r="B258" t="str">
            <v>477 - Ingalls</v>
          </cell>
          <cell r="C258" t="str">
            <v>Gray</v>
          </cell>
          <cell r="D258">
            <v>16175002</v>
          </cell>
          <cell r="E258">
            <v>15487683</v>
          </cell>
          <cell r="F258">
            <v>17347904</v>
          </cell>
          <cell r="G258">
            <v>16642573</v>
          </cell>
          <cell r="H258">
            <v>224.5</v>
          </cell>
          <cell r="I258">
            <v>225.2</v>
          </cell>
          <cell r="J258">
            <v>267</v>
          </cell>
          <cell r="K258">
            <v>1985823</v>
          </cell>
          <cell r="L258">
            <v>15</v>
          </cell>
          <cell r="M258">
            <v>0</v>
          </cell>
          <cell r="N258">
            <v>151784</v>
          </cell>
          <cell r="O258">
            <v>150536</v>
          </cell>
          <cell r="P258">
            <v>107843</v>
          </cell>
          <cell r="Q258">
            <v>38344</v>
          </cell>
          <cell r="R258">
            <v>67140</v>
          </cell>
          <cell r="U258">
            <v>33625</v>
          </cell>
          <cell r="V258">
            <v>0</v>
          </cell>
          <cell r="W258">
            <v>207959</v>
          </cell>
          <cell r="X258">
            <v>0.39200000000000002</v>
          </cell>
          <cell r="Y258">
            <v>0.378</v>
          </cell>
          <cell r="Z258">
            <v>90</v>
          </cell>
          <cell r="AA258">
            <v>27</v>
          </cell>
          <cell r="AB258">
            <v>0.27539999999999998</v>
          </cell>
          <cell r="AC258">
            <v>0</v>
          </cell>
          <cell r="AD258">
            <v>0.08</v>
          </cell>
        </row>
        <row r="259">
          <cell r="A259">
            <v>479</v>
          </cell>
          <cell r="B259" t="str">
            <v>479 - Crest</v>
          </cell>
          <cell r="C259" t="str">
            <v>Anderson</v>
          </cell>
          <cell r="D259">
            <v>13100521</v>
          </cell>
          <cell r="E259">
            <v>11760481</v>
          </cell>
          <cell r="F259">
            <v>12353621</v>
          </cell>
          <cell r="G259">
            <v>11019034</v>
          </cell>
          <cell r="H259">
            <v>223</v>
          </cell>
          <cell r="I259">
            <v>207.5</v>
          </cell>
          <cell r="J259">
            <v>177</v>
          </cell>
          <cell r="K259">
            <v>2120468</v>
          </cell>
          <cell r="L259">
            <v>10</v>
          </cell>
          <cell r="M259">
            <v>0</v>
          </cell>
          <cell r="N259">
            <v>272049</v>
          </cell>
          <cell r="O259">
            <v>281822</v>
          </cell>
          <cell r="P259">
            <v>101568</v>
          </cell>
          <cell r="Q259">
            <v>37651</v>
          </cell>
          <cell r="R259">
            <v>65927</v>
          </cell>
          <cell r="U259">
            <v>26659</v>
          </cell>
          <cell r="V259">
            <v>0</v>
          </cell>
          <cell r="W259">
            <v>308637</v>
          </cell>
          <cell r="X259">
            <v>0.41899999999999998</v>
          </cell>
          <cell r="Y259">
            <v>0.41399999999999998</v>
          </cell>
          <cell r="Z259">
            <v>95</v>
          </cell>
          <cell r="AA259">
            <v>21</v>
          </cell>
          <cell r="AB259">
            <v>0.43959999999999999</v>
          </cell>
          <cell r="AC259">
            <v>0.06</v>
          </cell>
          <cell r="AD259">
            <v>0.26</v>
          </cell>
        </row>
        <row r="260">
          <cell r="A260">
            <v>480</v>
          </cell>
          <cell r="B260" t="str">
            <v>480 - Liberal</v>
          </cell>
          <cell r="C260" t="str">
            <v>Seward</v>
          </cell>
          <cell r="D260">
            <v>188858320</v>
          </cell>
          <cell r="E260">
            <v>175427703</v>
          </cell>
          <cell r="F260">
            <v>172556422</v>
          </cell>
          <cell r="G260">
            <v>159215224</v>
          </cell>
          <cell r="H260">
            <v>4278</v>
          </cell>
          <cell r="I260">
            <v>4352</v>
          </cell>
          <cell r="J260">
            <v>205</v>
          </cell>
          <cell r="K260">
            <v>29705452</v>
          </cell>
          <cell r="L260">
            <v>219</v>
          </cell>
          <cell r="M260">
            <v>0</v>
          </cell>
          <cell r="N260">
            <v>1896542</v>
          </cell>
          <cell r="O260">
            <v>2206117</v>
          </cell>
          <cell r="P260">
            <v>1393127</v>
          </cell>
          <cell r="Q260">
            <v>547739</v>
          </cell>
          <cell r="R260">
            <v>959090</v>
          </cell>
          <cell r="U260">
            <v>633117</v>
          </cell>
          <cell r="V260">
            <v>0</v>
          </cell>
          <cell r="W260">
            <v>2081006</v>
          </cell>
          <cell r="X260">
            <v>0.7</v>
          </cell>
          <cell r="Y260">
            <v>0.67600000000000005</v>
          </cell>
          <cell r="Z260">
            <v>3105</v>
          </cell>
          <cell r="AA260">
            <v>535</v>
          </cell>
          <cell r="AB260">
            <v>0.62690000000000001</v>
          </cell>
          <cell r="AC260">
            <v>0.25</v>
          </cell>
          <cell r="AD260">
            <v>0.45</v>
          </cell>
        </row>
        <row r="261">
          <cell r="A261">
            <v>481</v>
          </cell>
          <cell r="B261" t="str">
            <v>481 - Rural Vista</v>
          </cell>
          <cell r="C261" t="str">
            <v>Dickinson</v>
          </cell>
          <cell r="D261">
            <v>23127605</v>
          </cell>
          <cell r="E261">
            <v>20893592</v>
          </cell>
          <cell r="F261">
            <v>24370016</v>
          </cell>
          <cell r="G261">
            <v>22106061</v>
          </cell>
          <cell r="H261">
            <v>413.3</v>
          </cell>
          <cell r="I261">
            <v>362.5</v>
          </cell>
          <cell r="J261">
            <v>303.8</v>
          </cell>
          <cell r="K261">
            <v>3140151</v>
          </cell>
          <cell r="L261">
            <v>23</v>
          </cell>
          <cell r="M261">
            <v>0</v>
          </cell>
          <cell r="N261">
            <v>350193</v>
          </cell>
          <cell r="O261">
            <v>350058</v>
          </cell>
          <cell r="P261">
            <v>163208</v>
          </cell>
          <cell r="Q261">
            <v>60612</v>
          </cell>
          <cell r="R261">
            <v>106132</v>
          </cell>
          <cell r="U261">
            <v>99739</v>
          </cell>
          <cell r="V261">
            <v>0</v>
          </cell>
          <cell r="W261">
            <v>401024</v>
          </cell>
          <cell r="X261">
            <v>0.23699999999999999</v>
          </cell>
          <cell r="Y261">
            <v>0.33200000000000002</v>
          </cell>
          <cell r="Z261">
            <v>99</v>
          </cell>
          <cell r="AA261">
            <v>78</v>
          </cell>
          <cell r="AB261">
            <v>0.36380000000000001</v>
          </cell>
          <cell r="AC261">
            <v>0</v>
          </cell>
          <cell r="AD261">
            <v>0.18</v>
          </cell>
        </row>
        <row r="262">
          <cell r="A262">
            <v>482</v>
          </cell>
          <cell r="B262" t="str">
            <v>482 - Dighton</v>
          </cell>
          <cell r="C262" t="str">
            <v>Lane</v>
          </cell>
          <cell r="D262">
            <v>38681601</v>
          </cell>
          <cell r="E262">
            <v>37118521</v>
          </cell>
          <cell r="F262">
            <v>42030342</v>
          </cell>
          <cell r="G262">
            <v>40459279</v>
          </cell>
          <cell r="H262">
            <v>239</v>
          </cell>
          <cell r="I262">
            <v>239</v>
          </cell>
          <cell r="J262">
            <v>619.5</v>
          </cell>
          <cell r="K262">
            <v>1933067</v>
          </cell>
          <cell r="L262">
            <v>17</v>
          </cell>
          <cell r="M262">
            <v>0</v>
          </cell>
          <cell r="N262">
            <v>166008</v>
          </cell>
          <cell r="O262">
            <v>160573</v>
          </cell>
          <cell r="P262">
            <v>102180</v>
          </cell>
          <cell r="Q262">
            <v>37651</v>
          </cell>
          <cell r="R262">
            <v>65927</v>
          </cell>
          <cell r="U262">
            <v>0</v>
          </cell>
          <cell r="V262">
            <v>0</v>
          </cell>
          <cell r="W262">
            <v>205278</v>
          </cell>
          <cell r="X262">
            <v>0.29199999999999998</v>
          </cell>
          <cell r="Y262">
            <v>0.307</v>
          </cell>
          <cell r="Z262">
            <v>71</v>
          </cell>
          <cell r="AA262">
            <v>34</v>
          </cell>
          <cell r="AB262">
            <v>0</v>
          </cell>
          <cell r="AC262">
            <v>0</v>
          </cell>
          <cell r="AD262">
            <v>0</v>
          </cell>
        </row>
        <row r="263">
          <cell r="A263">
            <v>483</v>
          </cell>
          <cell r="B263" t="str">
            <v>483 - Kismet-Plains</v>
          </cell>
          <cell r="C263" t="str">
            <v>Seward</v>
          </cell>
          <cell r="D263">
            <v>88377686</v>
          </cell>
          <cell r="E263">
            <v>86055851</v>
          </cell>
          <cell r="F263">
            <v>78637681</v>
          </cell>
          <cell r="G263">
            <v>76327008</v>
          </cell>
          <cell r="H263">
            <v>706</v>
          </cell>
          <cell r="I263">
            <v>698</v>
          </cell>
          <cell r="J263">
            <v>541</v>
          </cell>
          <cell r="K263">
            <v>6491719</v>
          </cell>
          <cell r="L263">
            <v>24</v>
          </cell>
          <cell r="M263">
            <v>0</v>
          </cell>
          <cell r="N263">
            <v>482744</v>
          </cell>
          <cell r="O263">
            <v>504847</v>
          </cell>
          <cell r="P263">
            <v>317298</v>
          </cell>
          <cell r="Q263">
            <v>122513</v>
          </cell>
          <cell r="R263">
            <v>214519</v>
          </cell>
          <cell r="U263">
            <v>0</v>
          </cell>
          <cell r="V263">
            <v>0</v>
          </cell>
          <cell r="W263">
            <v>599845</v>
          </cell>
          <cell r="X263">
            <v>0.64100000000000001</v>
          </cell>
          <cell r="Y263">
            <v>0.63400000000000001</v>
          </cell>
          <cell r="Z263">
            <v>463</v>
          </cell>
          <cell r="AA263">
            <v>106</v>
          </cell>
          <cell r="AB263">
            <v>0</v>
          </cell>
          <cell r="AC263">
            <v>0</v>
          </cell>
          <cell r="AD263">
            <v>0</v>
          </cell>
        </row>
        <row r="264">
          <cell r="A264">
            <v>484</v>
          </cell>
          <cell r="B264" t="str">
            <v>484 - Fredonia</v>
          </cell>
          <cell r="C264" t="str">
            <v>Wilson</v>
          </cell>
          <cell r="D264">
            <v>46552211</v>
          </cell>
          <cell r="E264">
            <v>41568850</v>
          </cell>
          <cell r="F264">
            <v>39421442</v>
          </cell>
          <cell r="G264">
            <v>34458286</v>
          </cell>
          <cell r="H264">
            <v>723.5</v>
          </cell>
          <cell r="I264">
            <v>704.3</v>
          </cell>
          <cell r="J264">
            <v>402</v>
          </cell>
          <cell r="K264">
            <v>5360226</v>
          </cell>
          <cell r="L264">
            <v>41</v>
          </cell>
          <cell r="M264">
            <v>0</v>
          </cell>
          <cell r="N264">
            <v>544069</v>
          </cell>
          <cell r="O264">
            <v>578088</v>
          </cell>
          <cell r="P264">
            <v>261802</v>
          </cell>
          <cell r="Q264">
            <v>98617</v>
          </cell>
          <cell r="R264">
            <v>172679</v>
          </cell>
          <cell r="U264">
            <v>182458</v>
          </cell>
          <cell r="V264">
            <v>0</v>
          </cell>
          <cell r="W264">
            <v>658732</v>
          </cell>
          <cell r="X264">
            <v>0.41399999999999998</v>
          </cell>
          <cell r="Y264">
            <v>0.4</v>
          </cell>
          <cell r="Z264">
            <v>304</v>
          </cell>
          <cell r="AA264">
            <v>135</v>
          </cell>
          <cell r="AB264">
            <v>0.47160000000000002</v>
          </cell>
          <cell r="AC264">
            <v>0.09</v>
          </cell>
          <cell r="AD264">
            <v>0.28999999999999998</v>
          </cell>
        </row>
        <row r="265">
          <cell r="A265">
            <v>487</v>
          </cell>
          <cell r="B265" t="str">
            <v>487 - Herington</v>
          </cell>
          <cell r="C265" t="str">
            <v>Dickinson</v>
          </cell>
          <cell r="D265">
            <v>18466357</v>
          </cell>
          <cell r="E265">
            <v>15544151</v>
          </cell>
          <cell r="F265">
            <v>18987315</v>
          </cell>
          <cell r="G265">
            <v>16071254</v>
          </cell>
          <cell r="H265">
            <v>503.6</v>
          </cell>
          <cell r="I265">
            <v>490.7</v>
          </cell>
          <cell r="J265">
            <v>93.7</v>
          </cell>
          <cell r="K265">
            <v>3861016</v>
          </cell>
          <cell r="L265">
            <v>25</v>
          </cell>
          <cell r="M265">
            <v>0</v>
          </cell>
          <cell r="N265">
            <v>396399</v>
          </cell>
          <cell r="O265">
            <v>415057</v>
          </cell>
          <cell r="P265">
            <v>190365</v>
          </cell>
          <cell r="Q265">
            <v>69817</v>
          </cell>
          <cell r="R265">
            <v>122250</v>
          </cell>
          <cell r="U265">
            <v>176930</v>
          </cell>
          <cell r="V265">
            <v>0</v>
          </cell>
          <cell r="W265">
            <v>463854</v>
          </cell>
          <cell r="X265">
            <v>0.437</v>
          </cell>
          <cell r="Y265">
            <v>0.39500000000000002</v>
          </cell>
          <cell r="Z265">
            <v>226</v>
          </cell>
          <cell r="AA265">
            <v>70</v>
          </cell>
          <cell r="AB265">
            <v>0.63319999999999999</v>
          </cell>
          <cell r="AC265">
            <v>0.26</v>
          </cell>
          <cell r="AD265">
            <v>0.46</v>
          </cell>
        </row>
        <row r="266">
          <cell r="A266">
            <v>489</v>
          </cell>
          <cell r="B266" t="str">
            <v>489 - Hays</v>
          </cell>
          <cell r="C266" t="str">
            <v>Ellis</v>
          </cell>
          <cell r="D266">
            <v>241870289</v>
          </cell>
          <cell r="E266">
            <v>223658061</v>
          </cell>
          <cell r="F266">
            <v>251481434</v>
          </cell>
          <cell r="G266">
            <v>233264744</v>
          </cell>
          <cell r="H266">
            <v>2804.3</v>
          </cell>
          <cell r="I266">
            <v>2902.5</v>
          </cell>
          <cell r="J266">
            <v>380.5</v>
          </cell>
          <cell r="K266">
            <v>17579886</v>
          </cell>
          <cell r="L266">
            <v>94</v>
          </cell>
          <cell r="M266">
            <v>0</v>
          </cell>
          <cell r="N266">
            <v>2515196</v>
          </cell>
          <cell r="O266">
            <v>2559191</v>
          </cell>
          <cell r="P266">
            <v>784071</v>
          </cell>
          <cell r="Q266">
            <v>298719</v>
          </cell>
          <cell r="R266">
            <v>523057</v>
          </cell>
          <cell r="U266">
            <v>232353</v>
          </cell>
          <cell r="V266">
            <v>0</v>
          </cell>
          <cell r="W266">
            <v>3138412</v>
          </cell>
          <cell r="X266">
            <v>0.32400000000000001</v>
          </cell>
          <cell r="Y266">
            <v>0.33700000000000002</v>
          </cell>
          <cell r="Z266">
            <v>948</v>
          </cell>
          <cell r="AA266">
            <v>331</v>
          </cell>
          <cell r="AB266">
            <v>0.18290000000000001</v>
          </cell>
          <cell r="AC266">
            <v>0</v>
          </cell>
          <cell r="AD266">
            <v>0</v>
          </cell>
        </row>
        <row r="267">
          <cell r="A267">
            <v>490</v>
          </cell>
          <cell r="B267" t="str">
            <v>490 - El Dorado</v>
          </cell>
          <cell r="C267" t="str">
            <v>Butler</v>
          </cell>
          <cell r="D267">
            <v>154858931</v>
          </cell>
          <cell r="E267">
            <v>143574415</v>
          </cell>
          <cell r="F267">
            <v>160418677</v>
          </cell>
          <cell r="G267">
            <v>149149679</v>
          </cell>
          <cell r="H267">
            <v>1977</v>
          </cell>
          <cell r="I267">
            <v>1901.5</v>
          </cell>
          <cell r="J267">
            <v>128</v>
          </cell>
          <cell r="K267">
            <v>11818087</v>
          </cell>
          <cell r="L267">
            <v>100</v>
          </cell>
          <cell r="M267">
            <v>0</v>
          </cell>
          <cell r="N267">
            <v>1399539</v>
          </cell>
          <cell r="O267">
            <v>1539944</v>
          </cell>
          <cell r="P267">
            <v>600550</v>
          </cell>
          <cell r="Q267">
            <v>221992</v>
          </cell>
          <cell r="R267">
            <v>388707</v>
          </cell>
          <cell r="U267">
            <v>170783</v>
          </cell>
          <cell r="V267">
            <v>0</v>
          </cell>
          <cell r="W267">
            <v>1883402</v>
          </cell>
          <cell r="X267">
            <v>0.43</v>
          </cell>
          <cell r="Y267">
            <v>0.40200000000000002</v>
          </cell>
          <cell r="Z267">
            <v>857</v>
          </cell>
          <cell r="AA267">
            <v>248</v>
          </cell>
          <cell r="AB267">
            <v>0.20749999999999999</v>
          </cell>
          <cell r="AC267">
            <v>0</v>
          </cell>
          <cell r="AD267">
            <v>0.01</v>
          </cell>
        </row>
        <row r="268">
          <cell r="A268">
            <v>491</v>
          </cell>
          <cell r="B268" t="str">
            <v>491 - Eudora</v>
          </cell>
          <cell r="C268" t="str">
            <v>Douglas</v>
          </cell>
          <cell r="D268">
            <v>56554476</v>
          </cell>
          <cell r="E268">
            <v>50958209</v>
          </cell>
          <cell r="F268">
            <v>57019976</v>
          </cell>
          <cell r="G268">
            <v>51441511</v>
          </cell>
          <cell r="H268">
            <v>1454</v>
          </cell>
          <cell r="I268">
            <v>1488.5</v>
          </cell>
          <cell r="J268">
            <v>53</v>
          </cell>
          <cell r="K268">
            <v>9410217</v>
          </cell>
          <cell r="L268">
            <v>91</v>
          </cell>
          <cell r="M268">
            <v>0</v>
          </cell>
          <cell r="N268">
            <v>1096195</v>
          </cell>
          <cell r="O268">
            <v>1144312</v>
          </cell>
          <cell r="P268">
            <v>390308</v>
          </cell>
          <cell r="Q268">
            <v>160325</v>
          </cell>
          <cell r="R268">
            <v>280728</v>
          </cell>
          <cell r="U268">
            <v>421340</v>
          </cell>
          <cell r="V268">
            <v>0.56000000000000005</v>
          </cell>
          <cell r="W268">
            <v>1227861</v>
          </cell>
          <cell r="X268">
            <v>0.28000000000000003</v>
          </cell>
          <cell r="Y268">
            <v>0.23699999999999999</v>
          </cell>
          <cell r="Z268">
            <v>417</v>
          </cell>
          <cell r="AA268">
            <v>157</v>
          </cell>
          <cell r="AB268">
            <v>0.63249999999999995</v>
          </cell>
          <cell r="AC268">
            <v>0.26</v>
          </cell>
          <cell r="AD268">
            <v>0.46</v>
          </cell>
        </row>
        <row r="269">
          <cell r="A269">
            <v>492</v>
          </cell>
          <cell r="B269" t="str">
            <v>492 - Flinthills</v>
          </cell>
          <cell r="C269" t="str">
            <v>Butler</v>
          </cell>
          <cell r="D269">
            <v>14666988</v>
          </cell>
          <cell r="E269">
            <v>13304233</v>
          </cell>
          <cell r="F269">
            <v>15078536</v>
          </cell>
          <cell r="G269">
            <v>13680528</v>
          </cell>
          <cell r="H269">
            <v>284.5</v>
          </cell>
          <cell r="I269">
            <v>247.8</v>
          </cell>
          <cell r="J269">
            <v>389</v>
          </cell>
          <cell r="K269">
            <v>2405113</v>
          </cell>
          <cell r="L269">
            <v>4</v>
          </cell>
          <cell r="M269">
            <v>0</v>
          </cell>
          <cell r="N269">
            <v>285156</v>
          </cell>
          <cell r="O269">
            <v>325317</v>
          </cell>
          <cell r="P269">
            <v>119673</v>
          </cell>
          <cell r="Q269">
            <v>42081</v>
          </cell>
          <cell r="R269">
            <v>73683</v>
          </cell>
          <cell r="U269">
            <v>85920</v>
          </cell>
          <cell r="V269">
            <v>0</v>
          </cell>
          <cell r="W269">
            <v>293427</v>
          </cell>
          <cell r="X269">
            <v>0.26700000000000002</v>
          </cell>
          <cell r="Y269">
            <v>0.252</v>
          </cell>
          <cell r="Z269">
            <v>76</v>
          </cell>
          <cell r="AA269">
            <v>21</v>
          </cell>
          <cell r="AB269">
            <v>0.44230000000000003</v>
          </cell>
          <cell r="AC269">
            <v>0.06</v>
          </cell>
          <cell r="AD269">
            <v>0.26</v>
          </cell>
        </row>
        <row r="270">
          <cell r="A270">
            <v>493</v>
          </cell>
          <cell r="B270" t="str">
            <v>493 - Columbus</v>
          </cell>
          <cell r="C270" t="str">
            <v>Cherokee</v>
          </cell>
          <cell r="D270">
            <v>55373436</v>
          </cell>
          <cell r="E270">
            <v>48374063</v>
          </cell>
          <cell r="F270">
            <v>55014091</v>
          </cell>
          <cell r="G270">
            <v>48079268</v>
          </cell>
          <cell r="H270">
            <v>1097</v>
          </cell>
          <cell r="I270">
            <v>1001.7</v>
          </cell>
          <cell r="J270">
            <v>354</v>
          </cell>
          <cell r="K270">
            <v>7614945</v>
          </cell>
          <cell r="L270">
            <v>65</v>
          </cell>
          <cell r="M270">
            <v>0</v>
          </cell>
          <cell r="N270">
            <v>915669</v>
          </cell>
          <cell r="O270">
            <v>929950</v>
          </cell>
          <cell r="P270">
            <v>385935</v>
          </cell>
          <cell r="Q270">
            <v>142236</v>
          </cell>
          <cell r="R270">
            <v>249055</v>
          </cell>
          <cell r="U270">
            <v>323809</v>
          </cell>
          <cell r="V270">
            <v>0</v>
          </cell>
          <cell r="W270">
            <v>1047175</v>
          </cell>
          <cell r="X270">
            <v>0.39700000000000002</v>
          </cell>
          <cell r="Y270">
            <v>0.42299999999999999</v>
          </cell>
          <cell r="Z270">
            <v>441</v>
          </cell>
          <cell r="AA270">
            <v>132</v>
          </cell>
          <cell r="AB270">
            <v>0.48089999999999999</v>
          </cell>
          <cell r="AC270">
            <v>0.1</v>
          </cell>
          <cell r="AD270">
            <v>0.3</v>
          </cell>
        </row>
        <row r="271">
          <cell r="A271">
            <v>494</v>
          </cell>
          <cell r="B271" t="str">
            <v>494 - Syracuse</v>
          </cell>
          <cell r="C271" t="str">
            <v>Hamilton</v>
          </cell>
          <cell r="D271">
            <v>67832851</v>
          </cell>
          <cell r="E271">
            <v>65644330</v>
          </cell>
          <cell r="F271">
            <v>46015161</v>
          </cell>
          <cell r="G271">
            <v>43814729</v>
          </cell>
          <cell r="H271">
            <v>479.5</v>
          </cell>
          <cell r="I271">
            <v>463</v>
          </cell>
          <cell r="J271">
            <v>992</v>
          </cell>
          <cell r="K271">
            <v>3968496</v>
          </cell>
          <cell r="L271">
            <v>30</v>
          </cell>
          <cell r="M271">
            <v>0</v>
          </cell>
          <cell r="N271">
            <v>262043</v>
          </cell>
          <cell r="O271">
            <v>258461</v>
          </cell>
          <cell r="P271">
            <v>191655</v>
          </cell>
          <cell r="Q271">
            <v>75189</v>
          </cell>
          <cell r="R271">
            <v>131656</v>
          </cell>
          <cell r="U271">
            <v>0</v>
          </cell>
          <cell r="V271">
            <v>0</v>
          </cell>
          <cell r="W271">
            <v>297844</v>
          </cell>
          <cell r="X271">
            <v>0.54300000000000004</v>
          </cell>
          <cell r="Y271">
            <v>0.501</v>
          </cell>
          <cell r="Z271">
            <v>266</v>
          </cell>
          <cell r="AA271">
            <v>48</v>
          </cell>
          <cell r="AB271">
            <v>6.6600000000000006E-2</v>
          </cell>
          <cell r="AC271">
            <v>0</v>
          </cell>
          <cell r="AD271">
            <v>0</v>
          </cell>
        </row>
        <row r="272">
          <cell r="A272">
            <v>495</v>
          </cell>
          <cell r="B272" t="str">
            <v>495 - Ft. Larned</v>
          </cell>
          <cell r="C272" t="str">
            <v>Pawnee</v>
          </cell>
          <cell r="D272">
            <v>45145702</v>
          </cell>
          <cell r="E272">
            <v>39699202</v>
          </cell>
          <cell r="F272">
            <v>44552985</v>
          </cell>
          <cell r="G272">
            <v>39019387</v>
          </cell>
          <cell r="H272">
            <v>872.5</v>
          </cell>
          <cell r="I272">
            <v>888.5</v>
          </cell>
          <cell r="J272">
            <v>518</v>
          </cell>
          <cell r="K272">
            <v>6612192</v>
          </cell>
          <cell r="L272">
            <v>70</v>
          </cell>
          <cell r="M272">
            <v>0</v>
          </cell>
          <cell r="N272">
            <v>994946</v>
          </cell>
          <cell r="O272">
            <v>1024301</v>
          </cell>
          <cell r="P272">
            <v>290293</v>
          </cell>
          <cell r="Q272">
            <v>113042</v>
          </cell>
          <cell r="R272">
            <v>197935</v>
          </cell>
          <cell r="U272">
            <v>248726</v>
          </cell>
          <cell r="V272">
            <v>0</v>
          </cell>
          <cell r="W272">
            <v>1069591</v>
          </cell>
          <cell r="X272">
            <v>0.41499999999999998</v>
          </cell>
          <cell r="Y272">
            <v>0.4</v>
          </cell>
          <cell r="Z272">
            <v>374</v>
          </cell>
          <cell r="AA272">
            <v>149</v>
          </cell>
          <cell r="AB272">
            <v>0.53280000000000005</v>
          </cell>
          <cell r="AC272">
            <v>0.15</v>
          </cell>
          <cell r="AD272">
            <v>0.35</v>
          </cell>
        </row>
        <row r="273">
          <cell r="A273">
            <v>496</v>
          </cell>
          <cell r="B273" t="str">
            <v>496 - Pawnee Heights</v>
          </cell>
          <cell r="C273" t="str">
            <v>Pawnee</v>
          </cell>
          <cell r="D273">
            <v>10623820</v>
          </cell>
          <cell r="E273">
            <v>9926246</v>
          </cell>
          <cell r="F273">
            <v>10966404</v>
          </cell>
          <cell r="G273">
            <v>10251289</v>
          </cell>
          <cell r="H273">
            <v>125.5</v>
          </cell>
          <cell r="I273">
            <v>134.5</v>
          </cell>
          <cell r="J273">
            <v>283</v>
          </cell>
          <cell r="K273">
            <v>1527162</v>
          </cell>
          <cell r="L273">
            <v>3</v>
          </cell>
          <cell r="M273">
            <v>0</v>
          </cell>
          <cell r="N273">
            <v>142576</v>
          </cell>
          <cell r="O273">
            <v>132381</v>
          </cell>
          <cell r="P273">
            <v>67763</v>
          </cell>
          <cell r="Q273">
            <v>25425</v>
          </cell>
          <cell r="R273">
            <v>44520</v>
          </cell>
          <cell r="U273">
            <v>34505</v>
          </cell>
          <cell r="V273">
            <v>0</v>
          </cell>
          <cell r="W273">
            <v>166489</v>
          </cell>
          <cell r="X273">
            <v>0.26800000000000002</v>
          </cell>
          <cell r="Y273">
            <v>0.185</v>
          </cell>
          <cell r="Z273">
            <v>36</v>
          </cell>
          <cell r="AA273">
            <v>29</v>
          </cell>
          <cell r="AB273">
            <v>0.42420000000000002</v>
          </cell>
          <cell r="AC273">
            <v>0.04</v>
          </cell>
          <cell r="AD273">
            <v>0.24</v>
          </cell>
        </row>
        <row r="274">
          <cell r="A274">
            <v>497</v>
          </cell>
          <cell r="B274" t="str">
            <v>497 - Lawrence</v>
          </cell>
          <cell r="C274" t="str">
            <v>Douglas</v>
          </cell>
          <cell r="D274">
            <v>963038628</v>
          </cell>
          <cell r="E274">
            <v>904943774</v>
          </cell>
          <cell r="F274">
            <v>968755909</v>
          </cell>
          <cell r="G274">
            <v>910616955</v>
          </cell>
          <cell r="H274">
            <v>9555.4</v>
          </cell>
          <cell r="I274">
            <v>9518.7000000000007</v>
          </cell>
          <cell r="J274">
            <v>175.2</v>
          </cell>
          <cell r="K274">
            <v>62714442</v>
          </cell>
          <cell r="L274">
            <v>473</v>
          </cell>
          <cell r="M274">
            <v>115</v>
          </cell>
          <cell r="N274">
            <v>9635895</v>
          </cell>
          <cell r="O274">
            <v>9754042</v>
          </cell>
          <cell r="P274">
            <v>2869300</v>
          </cell>
          <cell r="Q274">
            <v>1079612</v>
          </cell>
          <cell r="R274">
            <v>1890399</v>
          </cell>
          <cell r="U274">
            <v>641777</v>
          </cell>
          <cell r="V274">
            <v>2.5099999999999998</v>
          </cell>
          <cell r="W274">
            <v>10918476</v>
          </cell>
          <cell r="X274">
            <v>0.3</v>
          </cell>
          <cell r="Y274">
            <v>0.28599999999999998</v>
          </cell>
          <cell r="Z274">
            <v>2881</v>
          </cell>
          <cell r="AA274">
            <v>859</v>
          </cell>
          <cell r="AB274">
            <v>0.1389</v>
          </cell>
          <cell r="AC274">
            <v>0</v>
          </cell>
          <cell r="AD274">
            <v>0</v>
          </cell>
        </row>
        <row r="275">
          <cell r="A275">
            <v>498</v>
          </cell>
          <cell r="B275" t="str">
            <v>498 - Valley Heights</v>
          </cell>
          <cell r="C275" t="str">
            <v>Marshall</v>
          </cell>
          <cell r="D275">
            <v>15636186</v>
          </cell>
          <cell r="E275">
            <v>13556167</v>
          </cell>
          <cell r="F275">
            <v>15820804</v>
          </cell>
          <cell r="G275">
            <v>13750096</v>
          </cell>
          <cell r="H275">
            <v>363.5</v>
          </cell>
          <cell r="I275">
            <v>351</v>
          </cell>
          <cell r="J275">
            <v>205</v>
          </cell>
          <cell r="K275">
            <v>3048813</v>
          </cell>
          <cell r="L275">
            <v>16</v>
          </cell>
          <cell r="M275">
            <v>0</v>
          </cell>
          <cell r="N275">
            <v>396628</v>
          </cell>
          <cell r="O275">
            <v>398388</v>
          </cell>
          <cell r="P275">
            <v>145737</v>
          </cell>
          <cell r="Q275">
            <v>54548</v>
          </cell>
          <cell r="R275">
            <v>95513</v>
          </cell>
          <cell r="U275">
            <v>144038</v>
          </cell>
          <cell r="V275">
            <v>0</v>
          </cell>
          <cell r="W275">
            <v>509154</v>
          </cell>
          <cell r="X275">
            <v>0.41699999999999998</v>
          </cell>
          <cell r="Y275">
            <v>0.42</v>
          </cell>
          <cell r="Z275">
            <v>153</v>
          </cell>
          <cell r="AA275">
            <v>50</v>
          </cell>
          <cell r="AB275">
            <v>0.5827</v>
          </cell>
          <cell r="AC275">
            <v>0.2</v>
          </cell>
          <cell r="AD275">
            <v>0.4</v>
          </cell>
        </row>
        <row r="276">
          <cell r="A276">
            <v>499</v>
          </cell>
          <cell r="B276" t="str">
            <v>499 - Galena</v>
          </cell>
          <cell r="C276" t="str">
            <v>Cherokee</v>
          </cell>
          <cell r="D276">
            <v>13308156</v>
          </cell>
          <cell r="E276">
            <v>10157583</v>
          </cell>
          <cell r="F276">
            <v>14345247</v>
          </cell>
          <cell r="G276">
            <v>11219548</v>
          </cell>
          <cell r="H276">
            <v>728.5</v>
          </cell>
          <cell r="I276">
            <v>785.8</v>
          </cell>
          <cell r="J276">
            <v>13.5</v>
          </cell>
          <cell r="K276">
            <v>5877547</v>
          </cell>
          <cell r="L276">
            <v>30</v>
          </cell>
          <cell r="M276">
            <v>0</v>
          </cell>
          <cell r="N276">
            <v>525465</v>
          </cell>
          <cell r="O276">
            <v>592307</v>
          </cell>
          <cell r="P276">
            <v>267203</v>
          </cell>
          <cell r="Q276">
            <v>103570</v>
          </cell>
          <cell r="R276">
            <v>181351</v>
          </cell>
          <cell r="U276">
            <v>300686</v>
          </cell>
          <cell r="V276">
            <v>0</v>
          </cell>
          <cell r="W276">
            <v>577658</v>
          </cell>
          <cell r="X276">
            <v>0.59599999999999997</v>
          </cell>
          <cell r="Y276">
            <v>0.60599999999999998</v>
          </cell>
          <cell r="Z276">
            <v>476</v>
          </cell>
          <cell r="AA276">
            <v>128</v>
          </cell>
          <cell r="AB276">
            <v>0.82769999999999999</v>
          </cell>
          <cell r="AC276">
            <v>0.46</v>
          </cell>
          <cell r="AD276">
            <v>0.66</v>
          </cell>
        </row>
        <row r="277">
          <cell r="A277">
            <v>500</v>
          </cell>
          <cell r="B277" t="str">
            <v>500 - Kansas City</v>
          </cell>
          <cell r="C277" t="str">
            <v>Wyandotte</v>
          </cell>
          <cell r="D277">
            <v>727665821</v>
          </cell>
          <cell r="E277">
            <v>643094209</v>
          </cell>
          <cell r="F277">
            <v>695992559</v>
          </cell>
          <cell r="G277">
            <v>611922047</v>
          </cell>
          <cell r="H277">
            <v>18450.7</v>
          </cell>
          <cell r="I277">
            <v>18441.099999999999</v>
          </cell>
          <cell r="J277">
            <v>59</v>
          </cell>
          <cell r="K277">
            <v>135247367</v>
          </cell>
          <cell r="L277">
            <v>786</v>
          </cell>
          <cell r="M277">
            <v>0</v>
          </cell>
          <cell r="N277">
            <v>12919311</v>
          </cell>
          <cell r="O277">
            <v>13683408</v>
          </cell>
          <cell r="P277">
            <v>6351679</v>
          </cell>
          <cell r="Q277">
            <v>2458927</v>
          </cell>
          <cell r="R277">
            <v>4305575</v>
          </cell>
          <cell r="U277">
            <v>5868247</v>
          </cell>
          <cell r="V277">
            <v>0</v>
          </cell>
          <cell r="W277">
            <v>14691745</v>
          </cell>
          <cell r="X277">
            <v>0.85699999999999998</v>
          </cell>
          <cell r="Y277">
            <v>0.82899999999999996</v>
          </cell>
          <cell r="Z277">
            <v>16051</v>
          </cell>
          <cell r="AA277">
            <v>1692</v>
          </cell>
          <cell r="AB277">
            <v>0.64500000000000002</v>
          </cell>
          <cell r="AC277">
            <v>0.27</v>
          </cell>
          <cell r="AD277">
            <v>0.47</v>
          </cell>
        </row>
        <row r="278">
          <cell r="A278">
            <v>501</v>
          </cell>
          <cell r="B278" t="str">
            <v>501 - Topeka</v>
          </cell>
          <cell r="C278" t="str">
            <v>Shawnee</v>
          </cell>
          <cell r="D278">
            <v>621732394</v>
          </cell>
          <cell r="E278">
            <v>546237484</v>
          </cell>
          <cell r="F278">
            <v>609527307</v>
          </cell>
          <cell r="G278">
            <v>533973498</v>
          </cell>
          <cell r="H278">
            <v>13121.4</v>
          </cell>
          <cell r="I278">
            <v>13062.7</v>
          </cell>
          <cell r="J278">
            <v>35</v>
          </cell>
          <cell r="K278">
            <v>89454546</v>
          </cell>
          <cell r="L278">
            <v>769</v>
          </cell>
          <cell r="M278">
            <v>0</v>
          </cell>
          <cell r="N278">
            <v>12941793</v>
          </cell>
          <cell r="O278">
            <v>13497113</v>
          </cell>
          <cell r="P278">
            <v>3980290</v>
          </cell>
          <cell r="Q278">
            <v>1529515</v>
          </cell>
          <cell r="R278">
            <v>2678178</v>
          </cell>
          <cell r="U278">
            <v>3637462</v>
          </cell>
          <cell r="V278">
            <v>0</v>
          </cell>
          <cell r="W278">
            <v>14947071</v>
          </cell>
          <cell r="X278">
            <v>0.68300000000000005</v>
          </cell>
          <cell r="Y278">
            <v>0.65</v>
          </cell>
          <cell r="Z278">
            <v>9034</v>
          </cell>
          <cell r="AA278">
            <v>1426</v>
          </cell>
          <cell r="AB278">
            <v>0.56530000000000002</v>
          </cell>
          <cell r="AC278">
            <v>0.19</v>
          </cell>
          <cell r="AD278">
            <v>0.39</v>
          </cell>
        </row>
        <row r="279">
          <cell r="A279">
            <v>502</v>
          </cell>
          <cell r="B279" t="str">
            <v>502 - Lewis</v>
          </cell>
          <cell r="C279" t="str">
            <v>Edwards</v>
          </cell>
          <cell r="D279">
            <v>17351440</v>
          </cell>
          <cell r="E279">
            <v>16693106</v>
          </cell>
          <cell r="F279">
            <v>14793502</v>
          </cell>
          <cell r="G279">
            <v>14128739</v>
          </cell>
          <cell r="H279">
            <v>107.5</v>
          </cell>
          <cell r="I279">
            <v>99</v>
          </cell>
          <cell r="J279">
            <v>223.8</v>
          </cell>
          <cell r="K279">
            <v>1097242</v>
          </cell>
          <cell r="L279">
            <v>1</v>
          </cell>
          <cell r="M279">
            <v>0</v>
          </cell>
          <cell r="N279">
            <v>103426</v>
          </cell>
          <cell r="O279">
            <v>119830</v>
          </cell>
          <cell r="P279">
            <v>54293</v>
          </cell>
          <cell r="Q279">
            <v>20521</v>
          </cell>
          <cell r="R279">
            <v>35932</v>
          </cell>
          <cell r="U279">
            <v>0</v>
          </cell>
          <cell r="V279">
            <v>0</v>
          </cell>
          <cell r="W279">
            <v>123427</v>
          </cell>
          <cell r="X279">
            <v>0.29199999999999998</v>
          </cell>
          <cell r="Y279">
            <v>0.42199999999999999</v>
          </cell>
          <cell r="Z279">
            <v>32</v>
          </cell>
          <cell r="AA279">
            <v>16</v>
          </cell>
          <cell r="AB279">
            <v>0</v>
          </cell>
          <cell r="AC279">
            <v>0</v>
          </cell>
          <cell r="AD279">
            <v>0</v>
          </cell>
        </row>
        <row r="280">
          <cell r="A280">
            <v>503</v>
          </cell>
          <cell r="B280" t="str">
            <v>503 - Parsons</v>
          </cell>
          <cell r="C280" t="str">
            <v>Labette</v>
          </cell>
          <cell r="D280">
            <v>53898482</v>
          </cell>
          <cell r="E280">
            <v>44795386</v>
          </cell>
          <cell r="F280">
            <v>52239906</v>
          </cell>
          <cell r="G280">
            <v>43213032</v>
          </cell>
          <cell r="H280">
            <v>1223</v>
          </cell>
          <cell r="I280">
            <v>1160.5</v>
          </cell>
          <cell r="J280">
            <v>51</v>
          </cell>
          <cell r="K280">
            <v>8549589</v>
          </cell>
          <cell r="L280">
            <v>36</v>
          </cell>
          <cell r="M280">
            <v>0</v>
          </cell>
          <cell r="N280">
            <v>1101692</v>
          </cell>
          <cell r="O280">
            <v>1154598</v>
          </cell>
          <cell r="P280">
            <v>435352</v>
          </cell>
          <cell r="Q280">
            <v>156435</v>
          </cell>
          <cell r="R280">
            <v>273917</v>
          </cell>
          <cell r="U280">
            <v>376683</v>
          </cell>
          <cell r="V280">
            <v>0</v>
          </cell>
          <cell r="W280">
            <v>1277708</v>
          </cell>
          <cell r="X280">
            <v>0.57199999999999995</v>
          </cell>
          <cell r="Y280">
            <v>0.50900000000000001</v>
          </cell>
          <cell r="Z280">
            <v>715</v>
          </cell>
          <cell r="AA280">
            <v>149</v>
          </cell>
          <cell r="AB280">
            <v>0.57950000000000002</v>
          </cell>
          <cell r="AC280">
            <v>0.2</v>
          </cell>
          <cell r="AD280">
            <v>0.4</v>
          </cell>
        </row>
        <row r="281">
          <cell r="A281">
            <v>504</v>
          </cell>
          <cell r="B281" t="str">
            <v>504 - Oswego</v>
          </cell>
          <cell r="C281" t="str">
            <v>Labette</v>
          </cell>
          <cell r="D281">
            <v>10962447</v>
          </cell>
          <cell r="E281">
            <v>8988041</v>
          </cell>
          <cell r="F281">
            <v>11055872</v>
          </cell>
          <cell r="G281">
            <v>9098896</v>
          </cell>
          <cell r="H281">
            <v>459</v>
          </cell>
          <cell r="I281">
            <v>470</v>
          </cell>
          <cell r="J281">
            <v>45</v>
          </cell>
          <cell r="K281">
            <v>3585032</v>
          </cell>
          <cell r="L281">
            <v>21</v>
          </cell>
          <cell r="M281">
            <v>0</v>
          </cell>
          <cell r="N281">
            <v>363543</v>
          </cell>
          <cell r="O281">
            <v>386500</v>
          </cell>
          <cell r="P281">
            <v>176962</v>
          </cell>
          <cell r="Q281">
            <v>64727</v>
          </cell>
          <cell r="R281">
            <v>113338</v>
          </cell>
          <cell r="U281">
            <v>207828</v>
          </cell>
          <cell r="V281">
            <v>0</v>
          </cell>
          <cell r="W281">
            <v>421887</v>
          </cell>
          <cell r="X281">
            <v>0.49099999999999999</v>
          </cell>
          <cell r="Y281">
            <v>0.41499999999999998</v>
          </cell>
          <cell r="Z281">
            <v>233</v>
          </cell>
          <cell r="AA281">
            <v>51</v>
          </cell>
          <cell r="AB281">
            <v>0.77990000000000004</v>
          </cell>
          <cell r="AC281">
            <v>0.41</v>
          </cell>
          <cell r="AD281">
            <v>0.61</v>
          </cell>
        </row>
        <row r="282">
          <cell r="A282">
            <v>505</v>
          </cell>
          <cell r="B282" t="str">
            <v>505 - Chetopa - St. Paul</v>
          </cell>
          <cell r="C282" t="str">
            <v>Labette</v>
          </cell>
          <cell r="D282">
            <v>13331904</v>
          </cell>
          <cell r="E282">
            <v>10925941</v>
          </cell>
          <cell r="F282">
            <v>13668513</v>
          </cell>
          <cell r="G282">
            <v>11269098</v>
          </cell>
          <cell r="H282">
            <v>483.5</v>
          </cell>
          <cell r="I282">
            <v>455.4</v>
          </cell>
          <cell r="J282">
            <v>126</v>
          </cell>
          <cell r="K282">
            <v>3876764</v>
          </cell>
          <cell r="L282">
            <v>29</v>
          </cell>
          <cell r="M282">
            <v>0</v>
          </cell>
          <cell r="N282">
            <v>431182</v>
          </cell>
          <cell r="O282">
            <v>463706</v>
          </cell>
          <cell r="P282">
            <v>196619</v>
          </cell>
          <cell r="Q282">
            <v>73450</v>
          </cell>
          <cell r="R282">
            <v>128610</v>
          </cell>
          <cell r="U282">
            <v>235127</v>
          </cell>
          <cell r="V282">
            <v>0</v>
          </cell>
          <cell r="W282">
            <v>537677</v>
          </cell>
          <cell r="X282">
            <v>0.44800000000000001</v>
          </cell>
          <cell r="Y282">
            <v>0.46800000000000003</v>
          </cell>
          <cell r="Z282">
            <v>218</v>
          </cell>
          <cell r="AA282">
            <v>85</v>
          </cell>
          <cell r="AB282">
            <v>0.72040000000000004</v>
          </cell>
          <cell r="AC282">
            <v>0.35</v>
          </cell>
          <cell r="AD282">
            <v>0.55000000000000004</v>
          </cell>
        </row>
        <row r="283">
          <cell r="A283">
            <v>506</v>
          </cell>
          <cell r="B283" t="str">
            <v>506 - Labette County</v>
          </cell>
          <cell r="C283" t="str">
            <v>Labette</v>
          </cell>
          <cell r="D283">
            <v>53533864</v>
          </cell>
          <cell r="E283">
            <v>46688645</v>
          </cell>
          <cell r="F283">
            <v>48360732</v>
          </cell>
          <cell r="G283">
            <v>41508290</v>
          </cell>
          <cell r="H283">
            <v>1594.4</v>
          </cell>
          <cell r="I283">
            <v>1588.7</v>
          </cell>
          <cell r="J283">
            <v>500</v>
          </cell>
          <cell r="K283">
            <v>10153917</v>
          </cell>
          <cell r="L283">
            <v>46</v>
          </cell>
          <cell r="M283">
            <v>0</v>
          </cell>
          <cell r="N283">
            <v>1372447</v>
          </cell>
          <cell r="O283">
            <v>1380921</v>
          </cell>
          <cell r="P283">
            <v>465440</v>
          </cell>
          <cell r="Q283">
            <v>175071</v>
          </cell>
          <cell r="R283">
            <v>306549</v>
          </cell>
          <cell r="U283">
            <v>526996</v>
          </cell>
          <cell r="V283">
            <v>0</v>
          </cell>
          <cell r="W283">
            <v>1454609</v>
          </cell>
          <cell r="X283">
            <v>0.41599999999999998</v>
          </cell>
          <cell r="Y283">
            <v>0.38100000000000001</v>
          </cell>
          <cell r="Z283">
            <v>669</v>
          </cell>
          <cell r="AA283">
            <v>325</v>
          </cell>
          <cell r="AB283">
            <v>0.71009999999999995</v>
          </cell>
          <cell r="AC283">
            <v>0.34</v>
          </cell>
          <cell r="AD283">
            <v>0.54</v>
          </cell>
        </row>
        <row r="284">
          <cell r="A284">
            <v>507</v>
          </cell>
          <cell r="B284" t="str">
            <v>507 - Satanta</v>
          </cell>
          <cell r="C284" t="str">
            <v>Haskell</v>
          </cell>
          <cell r="D284">
            <v>179210398</v>
          </cell>
          <cell r="E284">
            <v>177868538</v>
          </cell>
          <cell r="F284">
            <v>148005804</v>
          </cell>
          <cell r="G284">
            <v>146655688</v>
          </cell>
          <cell r="H284">
            <v>328.5</v>
          </cell>
          <cell r="I284">
            <v>322</v>
          </cell>
          <cell r="J284">
            <v>250</v>
          </cell>
          <cell r="K284">
            <v>2914167</v>
          </cell>
          <cell r="L284">
            <v>11</v>
          </cell>
          <cell r="M284">
            <v>0</v>
          </cell>
          <cell r="N284">
            <v>187019</v>
          </cell>
          <cell r="O284">
            <v>183019</v>
          </cell>
          <cell r="P284">
            <v>147749</v>
          </cell>
          <cell r="Q284">
            <v>54693</v>
          </cell>
          <cell r="R284">
            <v>95767</v>
          </cell>
          <cell r="U284">
            <v>0</v>
          </cell>
          <cell r="V284">
            <v>0</v>
          </cell>
          <cell r="W284">
            <v>226108</v>
          </cell>
          <cell r="X284">
            <v>0.56100000000000005</v>
          </cell>
          <cell r="Y284">
            <v>0.498</v>
          </cell>
          <cell r="Z284">
            <v>190</v>
          </cell>
          <cell r="AA284">
            <v>57</v>
          </cell>
          <cell r="AB284">
            <v>0</v>
          </cell>
          <cell r="AC284">
            <v>0</v>
          </cell>
          <cell r="AD284">
            <v>0</v>
          </cell>
        </row>
        <row r="285">
          <cell r="A285">
            <v>508</v>
          </cell>
          <cell r="B285" t="str">
            <v>508 - Baxter Springs</v>
          </cell>
          <cell r="C285" t="str">
            <v>Cherokee</v>
          </cell>
          <cell r="D285">
            <v>25172788</v>
          </cell>
          <cell r="E285">
            <v>20861617</v>
          </cell>
          <cell r="F285">
            <v>25048046</v>
          </cell>
          <cell r="G285">
            <v>20730312</v>
          </cell>
          <cell r="H285">
            <v>902.5</v>
          </cell>
          <cell r="I285">
            <v>963</v>
          </cell>
          <cell r="J285">
            <v>26</v>
          </cell>
          <cell r="K285">
            <v>6909435</v>
          </cell>
          <cell r="L285">
            <v>36</v>
          </cell>
          <cell r="M285">
            <v>0</v>
          </cell>
          <cell r="N285">
            <v>690127</v>
          </cell>
          <cell r="O285">
            <v>747316</v>
          </cell>
          <cell r="P285">
            <v>316204</v>
          </cell>
          <cell r="Q285">
            <v>120403</v>
          </cell>
          <cell r="R285">
            <v>210825</v>
          </cell>
          <cell r="U285">
            <v>350972</v>
          </cell>
          <cell r="V285">
            <v>0</v>
          </cell>
          <cell r="W285">
            <v>764175</v>
          </cell>
          <cell r="X285">
            <v>0.53300000000000003</v>
          </cell>
          <cell r="Y285">
            <v>0.52200000000000002</v>
          </cell>
          <cell r="Z285">
            <v>521</v>
          </cell>
          <cell r="AA285">
            <v>139</v>
          </cell>
          <cell r="AB285">
            <v>0.75419999999999998</v>
          </cell>
          <cell r="AC285">
            <v>0.38</v>
          </cell>
          <cell r="AD285">
            <v>0.57999999999999996</v>
          </cell>
        </row>
        <row r="286">
          <cell r="A286">
            <v>509</v>
          </cell>
          <cell r="B286" t="str">
            <v>509 - South Haven</v>
          </cell>
          <cell r="C286" t="str">
            <v>Sumner</v>
          </cell>
          <cell r="D286">
            <v>8273184</v>
          </cell>
          <cell r="E286">
            <v>7515120</v>
          </cell>
          <cell r="F286">
            <v>8978954</v>
          </cell>
          <cell r="G286">
            <v>8218858</v>
          </cell>
          <cell r="H286">
            <v>221.5</v>
          </cell>
          <cell r="I286">
            <v>210.5</v>
          </cell>
          <cell r="J286">
            <v>150</v>
          </cell>
          <cell r="K286">
            <v>1976374</v>
          </cell>
          <cell r="L286">
            <v>19</v>
          </cell>
          <cell r="M286">
            <v>0</v>
          </cell>
          <cell r="N286">
            <v>256605</v>
          </cell>
          <cell r="O286">
            <v>273888</v>
          </cell>
          <cell r="P286">
            <v>96823</v>
          </cell>
          <cell r="Q286">
            <v>35541</v>
          </cell>
          <cell r="R286">
            <v>62232</v>
          </cell>
          <cell r="U286">
            <v>81450</v>
          </cell>
          <cell r="V286">
            <v>0</v>
          </cell>
          <cell r="W286">
            <v>314886</v>
          </cell>
          <cell r="X286">
            <v>0.28199999999999997</v>
          </cell>
          <cell r="Y286">
            <v>0.29499999999999998</v>
          </cell>
          <cell r="Z286">
            <v>63</v>
          </cell>
          <cell r="AA286">
            <v>25</v>
          </cell>
          <cell r="AB286">
            <v>0.5948</v>
          </cell>
          <cell r="AC286">
            <v>0.22</v>
          </cell>
          <cell r="AD286">
            <v>0.42</v>
          </cell>
        </row>
        <row r="287">
          <cell r="A287">
            <v>511</v>
          </cell>
          <cell r="B287" t="str">
            <v>511 - Attica</v>
          </cell>
          <cell r="C287" t="str">
            <v>Harper</v>
          </cell>
          <cell r="D287">
            <v>18027294</v>
          </cell>
          <cell r="E287">
            <v>17238858</v>
          </cell>
          <cell r="F287">
            <v>13833651</v>
          </cell>
          <cell r="G287">
            <v>13053829</v>
          </cell>
          <cell r="H287">
            <v>139</v>
          </cell>
          <cell r="I287">
            <v>146.5</v>
          </cell>
          <cell r="J287">
            <v>126</v>
          </cell>
          <cell r="K287">
            <v>1359840</v>
          </cell>
          <cell r="L287">
            <v>14</v>
          </cell>
          <cell r="M287">
            <v>0</v>
          </cell>
          <cell r="N287">
            <v>153311</v>
          </cell>
          <cell r="O287">
            <v>163091</v>
          </cell>
          <cell r="P287">
            <v>65095</v>
          </cell>
          <cell r="Q287">
            <v>24032</v>
          </cell>
          <cell r="R287">
            <v>42080</v>
          </cell>
          <cell r="U287">
            <v>0</v>
          </cell>
          <cell r="V287">
            <v>0</v>
          </cell>
          <cell r="W287">
            <v>149260</v>
          </cell>
          <cell r="X287">
            <v>0.28699999999999998</v>
          </cell>
          <cell r="Y287">
            <v>0.36699999999999999</v>
          </cell>
          <cell r="Z287">
            <v>42</v>
          </cell>
          <cell r="AA287">
            <v>26</v>
          </cell>
          <cell r="AB287">
            <v>0.1026</v>
          </cell>
          <cell r="AC287">
            <v>0</v>
          </cell>
          <cell r="AD287">
            <v>0</v>
          </cell>
        </row>
        <row r="288">
          <cell r="A288">
            <v>512</v>
          </cell>
          <cell r="B288" t="str">
            <v>512 - Shawnee Mission</v>
          </cell>
          <cell r="C288" t="str">
            <v>Johnson</v>
          </cell>
          <cell r="D288">
            <v>3096324835</v>
          </cell>
          <cell r="E288">
            <v>2926518230</v>
          </cell>
          <cell r="F288">
            <v>2937765653</v>
          </cell>
          <cell r="G288">
            <v>2767857041</v>
          </cell>
          <cell r="H288">
            <v>26495</v>
          </cell>
          <cell r="I288">
            <v>26603.5</v>
          </cell>
          <cell r="J288">
            <v>72</v>
          </cell>
          <cell r="K288">
            <v>156313606</v>
          </cell>
          <cell r="L288">
            <v>1498</v>
          </cell>
          <cell r="M288">
            <v>0</v>
          </cell>
          <cell r="N288">
            <v>18156403</v>
          </cell>
          <cell r="O288">
            <v>19448276</v>
          </cell>
          <cell r="P288">
            <v>7228747</v>
          </cell>
          <cell r="Q288">
            <v>2804591</v>
          </cell>
          <cell r="R288">
            <v>4910832</v>
          </cell>
          <cell r="U288">
            <v>0</v>
          </cell>
          <cell r="V288">
            <v>4.0999999999999996</v>
          </cell>
          <cell r="W288">
            <v>26103306</v>
          </cell>
          <cell r="X288">
            <v>0.26600000000000001</v>
          </cell>
          <cell r="Y288">
            <v>0.24</v>
          </cell>
          <cell r="Z288">
            <v>7084</v>
          </cell>
          <cell r="AA288">
            <v>2161</v>
          </cell>
          <cell r="AB288">
            <v>0</v>
          </cell>
          <cell r="AC288">
            <v>0</v>
          </cell>
          <cell r="AD288">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25"/>
  <sheetViews>
    <sheetView workbookViewId="0">
      <selection activeCell="B35" sqref="B35"/>
    </sheetView>
  </sheetViews>
  <sheetFormatPr defaultColWidth="8.85546875" defaultRowHeight="12.75"/>
  <cols>
    <col min="1" max="1" width="3.42578125" customWidth="1"/>
    <col min="2" max="2" width="89.42578125" customWidth="1"/>
    <col min="3" max="3" width="17" customWidth="1"/>
  </cols>
  <sheetData>
    <row r="1" spans="1:3" ht="18">
      <c r="A1" s="785" t="s">
        <v>258</v>
      </c>
      <c r="B1" s="785"/>
      <c r="C1" s="481"/>
    </row>
    <row r="2" spans="1:3">
      <c r="A2" s="786" t="s">
        <v>257</v>
      </c>
      <c r="B2" s="786"/>
      <c r="C2" s="482"/>
    </row>
    <row r="3" spans="1:3">
      <c r="A3" s="478"/>
      <c r="B3" s="478"/>
      <c r="C3" s="478"/>
    </row>
    <row r="4" spans="1:3">
      <c r="A4" s="478"/>
      <c r="B4" s="479" t="s">
        <v>678</v>
      </c>
      <c r="C4" s="478"/>
    </row>
    <row r="5" spans="1:3">
      <c r="A5" s="478"/>
      <c r="B5" s="479" t="s">
        <v>679</v>
      </c>
      <c r="C5" s="478"/>
    </row>
    <row r="6" spans="1:3">
      <c r="A6" s="478"/>
      <c r="B6" s="479" t="s">
        <v>713</v>
      </c>
      <c r="C6" s="478"/>
    </row>
    <row r="7" spans="1:3">
      <c r="A7" s="478"/>
      <c r="B7" s="479"/>
      <c r="C7" s="478"/>
    </row>
    <row r="8" spans="1:3">
      <c r="A8" s="478"/>
      <c r="B8" s="479" t="s">
        <v>259</v>
      </c>
      <c r="C8" s="478"/>
    </row>
    <row r="9" spans="1:3">
      <c r="A9" s="478"/>
      <c r="B9" s="479" t="s">
        <v>260</v>
      </c>
      <c r="C9" s="478"/>
    </row>
    <row r="10" spans="1:3">
      <c r="A10" s="478"/>
      <c r="B10" s="479" t="s">
        <v>261</v>
      </c>
      <c r="C10" s="478"/>
    </row>
    <row r="11" spans="1:3">
      <c r="A11" s="478"/>
      <c r="B11" s="479" t="s">
        <v>574</v>
      </c>
      <c r="C11" s="478"/>
    </row>
    <row r="12" spans="1:3">
      <c r="A12" s="478"/>
      <c r="B12" s="479" t="s">
        <v>262</v>
      </c>
      <c r="C12" s="478"/>
    </row>
    <row r="13" spans="1:3">
      <c r="A13" s="478"/>
      <c r="B13" s="479" t="s">
        <v>263</v>
      </c>
      <c r="C13" s="478"/>
    </row>
    <row r="14" spans="1:3">
      <c r="A14" s="478"/>
      <c r="B14" s="479" t="s">
        <v>264</v>
      </c>
      <c r="C14" s="478"/>
    </row>
    <row r="15" spans="1:3">
      <c r="A15" s="478"/>
      <c r="B15" s="479" t="s">
        <v>475</v>
      </c>
      <c r="C15" s="478"/>
    </row>
    <row r="16" spans="1:3">
      <c r="A16" s="478"/>
      <c r="B16" s="479" t="s">
        <v>504</v>
      </c>
      <c r="C16" s="478"/>
    </row>
    <row r="17" spans="1:3">
      <c r="A17" s="478"/>
      <c r="B17" s="479" t="s">
        <v>265</v>
      </c>
      <c r="C17" s="478"/>
    </row>
    <row r="18" spans="1:3">
      <c r="A18" s="478"/>
      <c r="B18" s="569" t="s">
        <v>503</v>
      </c>
      <c r="C18" s="478"/>
    </row>
    <row r="19" spans="1:3">
      <c r="A19" s="478"/>
      <c r="B19" s="479" t="s">
        <v>266</v>
      </c>
      <c r="C19" s="478"/>
    </row>
    <row r="20" spans="1:3">
      <c r="A20" s="478"/>
      <c r="B20" s="478"/>
      <c r="C20" s="478"/>
    </row>
    <row r="21" spans="1:3">
      <c r="A21" s="478"/>
      <c r="B21" s="479" t="s">
        <v>267</v>
      </c>
      <c r="C21" s="478"/>
    </row>
    <row r="22" spans="1:3">
      <c r="A22" s="478"/>
      <c r="B22" s="479" t="s">
        <v>646</v>
      </c>
      <c r="C22" s="478"/>
    </row>
    <row r="23" spans="1:3">
      <c r="A23" s="478"/>
      <c r="B23" s="478"/>
      <c r="C23" s="478"/>
    </row>
    <row r="24" spans="1:3">
      <c r="A24" s="774"/>
      <c r="B24" s="774"/>
      <c r="C24" s="774"/>
    </row>
    <row r="25" spans="1:3">
      <c r="A25" s="774"/>
      <c r="B25" s="774"/>
      <c r="C25" s="774"/>
    </row>
  </sheetData>
  <sheetProtection password="CC53" sheet="1" objects="1" scenarios="1"/>
  <mergeCells count="2">
    <mergeCell ref="A1:B1"/>
    <mergeCell ref="A2:B2"/>
  </mergeCells>
  <phoneticPr fontId="32" type="noConversion"/>
  <hyperlinks>
    <hyperlink ref="B8" location="'F110'!A1" display="Form 110-Tax in Process"/>
    <hyperlink ref="B9" location="'F118'!A1" display="Form 118-Estimated Special Education Aid"/>
    <hyperlink ref="B10" location="'F148'!A1" display="Form 148-Estimated General Fund State Aid"/>
    <hyperlink ref="B13" location="'F155'!A1" display="Form 155-Local Option Budget (Supplemental General Fund)"/>
    <hyperlink ref="B14" location="'F162'!A1" display="Form 162-Estimated Food Service Revenue"/>
    <hyperlink ref="B15" location="'F194'!A1" display="Form 194-Estimated Motor Vehicle Tax and IRB Payments"/>
    <hyperlink ref="B16" location="'F195'!A1" display="Form 195-Estimated State Aids for Drivers Education, Motorcycle Safety and KPERS"/>
    <hyperlink ref="B17" location="'F239'!A1" display="Form 239-Estimated Supplemental General State Aid, Bond &amp; Interest #1 State Aid"/>
    <hyperlink ref="B18" location="F241A!A1" display="Form 241A-Estimated Bond &amp; Interest #2 State Aid"/>
    <hyperlink ref="B19" location="'F250'!A1" display="Form 250-Building Expenditures Report (OPTIONAL)"/>
    <hyperlink ref="B21" location="AMEND!A1" display="Amend - Budget Amendment Instructions"/>
    <hyperlink ref="B22" location="CashBalances!A1" display="Cash Balances on all funds"/>
    <hyperlink ref="B11" location="'F149'!A1" display="Form 149-Transfer Cash Balances to General Fund"/>
    <hyperlink ref="B12" location="'F150'!A1" display="Form 150-Estimated Legal Maximum Budget"/>
    <hyperlink ref="B6" location="Certify!A1" display="Certify-Superintendent must sign!"/>
    <hyperlink ref="B5" location="Salaries!A1" display="Salaries page"/>
    <hyperlink ref="B4" location="Headings!A1" display="Headings (Certify, C01, C099 &amp; Amend)"/>
  </hyperlinks>
  <pageMargins left="0.75" right="0.75" top="1" bottom="1" header="0.5" footer="0.5"/>
  <pageSetup orientation="landscape"/>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351"/>
  <sheetViews>
    <sheetView zoomScale="125" zoomScaleNormal="100" workbookViewId="0">
      <selection activeCell="E29" sqref="E29"/>
    </sheetView>
  </sheetViews>
  <sheetFormatPr defaultColWidth="8.85546875" defaultRowHeight="12.75"/>
  <cols>
    <col min="1" max="1" width="6.42578125" customWidth="1"/>
    <col min="2" max="2" width="10.140625" customWidth="1"/>
    <col min="3" max="3" width="5.7109375" customWidth="1"/>
    <col min="4" max="4" width="17.7109375" customWidth="1"/>
    <col min="5" max="5" width="12.42578125" customWidth="1"/>
    <col min="6" max="6" width="9.85546875" customWidth="1"/>
    <col min="7" max="7" width="7.140625" customWidth="1"/>
    <col min="8" max="8" width="13" customWidth="1"/>
    <col min="9" max="9" width="1.85546875" customWidth="1"/>
    <col min="10" max="10" width="13.28515625" customWidth="1"/>
    <col min="11" max="11" width="3" customWidth="1"/>
    <col min="12" max="12" width="14.85546875" customWidth="1"/>
    <col min="13" max="13" width="10.140625" customWidth="1"/>
  </cols>
  <sheetData>
    <row r="1" spans="1:15">
      <c r="A1" s="159" t="s">
        <v>23</v>
      </c>
      <c r="B1" s="159"/>
      <c r="C1" s="159"/>
      <c r="D1" s="159"/>
      <c r="E1" s="159"/>
      <c r="F1" s="159"/>
      <c r="G1" s="159"/>
      <c r="H1" s="160" t="s">
        <v>361</v>
      </c>
      <c r="I1" s="161"/>
      <c r="J1" s="162">
        <f>[2]OPEN!$B$4</f>
        <v>395</v>
      </c>
      <c r="K1" s="159"/>
      <c r="L1" s="480" t="s">
        <v>268</v>
      </c>
    </row>
    <row r="2" spans="1:15">
      <c r="A2" s="159" t="s">
        <v>26</v>
      </c>
      <c r="B2" s="159"/>
      <c r="C2" s="159"/>
      <c r="D2" s="159"/>
      <c r="E2" s="159"/>
      <c r="F2" s="159"/>
      <c r="G2" s="159"/>
      <c r="H2" s="159"/>
      <c r="I2" s="159"/>
      <c r="J2" s="159"/>
      <c r="K2" s="159"/>
      <c r="L2" s="159"/>
    </row>
    <row r="3" spans="1:15">
      <c r="A3" s="430">
        <f>[2]OPEN!$N$3</f>
        <v>40664</v>
      </c>
      <c r="B3" s="159"/>
      <c r="C3" s="159"/>
      <c r="D3" s="159"/>
      <c r="E3" s="159"/>
      <c r="F3" s="159"/>
      <c r="G3" s="159"/>
      <c r="H3" s="159"/>
      <c r="I3" s="159"/>
      <c r="J3" s="159"/>
      <c r="K3" s="159"/>
      <c r="L3" s="159"/>
    </row>
    <row r="4" spans="1:15">
      <c r="A4" s="159"/>
      <c r="B4" s="159"/>
      <c r="C4" s="159"/>
      <c r="D4" s="159"/>
      <c r="E4" s="159"/>
      <c r="F4" s="159"/>
      <c r="G4" s="159"/>
      <c r="H4" s="159"/>
      <c r="I4" s="159"/>
      <c r="J4" s="159"/>
      <c r="K4" s="159"/>
      <c r="L4" s="159"/>
    </row>
    <row r="5" spans="1:15">
      <c r="A5" s="163" t="s">
        <v>27</v>
      </c>
      <c r="B5" s="164"/>
      <c r="C5" s="164"/>
      <c r="D5" s="164"/>
      <c r="E5" s="164"/>
      <c r="F5" s="164"/>
      <c r="G5" s="164"/>
      <c r="H5" s="164"/>
      <c r="I5" s="164"/>
      <c r="J5" s="159"/>
      <c r="K5" s="159"/>
      <c r="L5" s="159"/>
    </row>
    <row r="6" spans="1:15">
      <c r="A6" s="163" t="str">
        <f>[2]OPEN!$P$4&amp;"  LOCAL OPTION BUDGET"</f>
        <v>2011-2012  LOCAL OPTION BUDGET</v>
      </c>
      <c r="B6" s="164"/>
      <c r="C6" s="164"/>
      <c r="D6" s="164"/>
      <c r="E6" s="164"/>
      <c r="F6" s="164"/>
      <c r="G6" s="164"/>
      <c r="H6" s="164"/>
      <c r="I6" s="164"/>
      <c r="J6" s="159"/>
      <c r="K6" s="159"/>
      <c r="L6" s="159"/>
    </row>
    <row r="8" spans="1:15">
      <c r="A8" t="str">
        <f>"1.  Statewide LOB average percentage for "&amp;[2]OPEN!$O$4&amp; " school year"</f>
        <v>1.  Statewide LOB average percentage for 2010-2011 school year</v>
      </c>
      <c r="G8" s="596"/>
      <c r="I8" s="597" t="s">
        <v>292</v>
      </c>
      <c r="J8" s="602">
        <v>30</v>
      </c>
      <c r="K8" t="s">
        <v>290</v>
      </c>
    </row>
    <row r="10" spans="1:15">
      <c r="A10" t="s">
        <v>557</v>
      </c>
      <c r="G10" t="s">
        <v>28</v>
      </c>
      <c r="H10" s="594">
        <f>VLOOKUP($J$1,A63:B351,2,FALSE)</f>
        <v>0</v>
      </c>
      <c r="I10" t="s">
        <v>292</v>
      </c>
      <c r="J10" s="601">
        <f>VLOOKUP($J$1,A63:C351,3,FALSE)</f>
        <v>0</v>
      </c>
      <c r="K10" t="s">
        <v>290</v>
      </c>
    </row>
    <row r="12" spans="1:15">
      <c r="A12" t="str">
        <f>"3.  Authorized percent of LOB due to an ELECTION beginning with the " &amp; [2]OPEN!$P$4 &amp; " school year"</f>
        <v>3.  Authorized percent of LOB due to an ELECTION beginning with the 2011-2012 school year</v>
      </c>
    </row>
    <row r="13" spans="1:15">
      <c r="A13" t="str">
        <f>"           to exceed 30%. (1% limit)"</f>
        <v xml:space="preserve">           to exceed 30%. (1% limit)</v>
      </c>
      <c r="E13" t="s">
        <v>109</v>
      </c>
      <c r="G13" t="s">
        <v>110</v>
      </c>
      <c r="H13" s="615"/>
      <c r="J13" s="603"/>
      <c r="K13" t="s">
        <v>290</v>
      </c>
      <c r="L13" s="606" t="str">
        <f>IF(AND(J10=1,J13&gt;0),"Line 3 should be 0 as total is 31% which is the max allowed","")</f>
        <v/>
      </c>
      <c r="M13" s="606"/>
    </row>
    <row r="15" spans="1:15">
      <c r="A15" s="575" t="s">
        <v>474</v>
      </c>
      <c r="I15" t="s">
        <v>292</v>
      </c>
      <c r="J15" s="601">
        <f>MAX(J8+J10,J8+J13)</f>
        <v>30</v>
      </c>
      <c r="K15" t="s">
        <v>290</v>
      </c>
      <c r="N15" s="605"/>
      <c r="O15" s="159"/>
    </row>
    <row r="17" spans="1:14">
      <c r="A17" t="str">
        <f>"5.  COMPUTED LOB FOR "&amp;[2]OPEN!$P$4</f>
        <v>5.  COMPUTED LOB FOR 2011-2012</v>
      </c>
    </row>
    <row r="18" spans="1:14">
      <c r="A18" t="str">
        <f>"          ("&amp;[2]OPEN!$P$4&amp;" LOB Base General Fund    $"</f>
        <v xml:space="preserve">          (2011-2012 LOB Base General Fund    $</v>
      </c>
      <c r="E18" s="595">
        <f>'F150'!J71</f>
        <v>2798750</v>
      </c>
      <c r="F18" s="575" t="s">
        <v>473</v>
      </c>
      <c r="I18" t="s">
        <v>105</v>
      </c>
      <c r="J18" s="595">
        <f>ROUND(E18*(J15/100),0)</f>
        <v>839625</v>
      </c>
      <c r="M18" s="607"/>
      <c r="N18" s="159"/>
    </row>
    <row r="20" spans="1:14">
      <c r="A20" s="575" t="str">
        <f>"6.  ADOPTED LOB FOR "&amp;[2]OPEN!$P$4&amp;" IF LESS THAN Line 5....................................................................................................................."</f>
        <v>6.  ADOPTED LOB FOR 2011-2012 IF LESS THAN Line 5.....................................................................................................................</v>
      </c>
      <c r="I20" t="s">
        <v>105</v>
      </c>
      <c r="J20" s="608">
        <v>755662</v>
      </c>
    </row>
    <row r="21" spans="1:14">
      <c r="J21" s="604" t="str">
        <f>IF((J20&gt;J18),"ERROR!!!"," ")</f>
        <v xml:space="preserve"> </v>
      </c>
    </row>
    <row r="22" spans="1:14">
      <c r="J22" s="604" t="str">
        <f>IF((J20&gt;J18),"Adopted LOB&gt;Max"," ")</f>
        <v xml:space="preserve"> </v>
      </c>
    </row>
    <row r="59" spans="1:4">
      <c r="B59" s="717">
        <v>40688</v>
      </c>
    </row>
    <row r="60" spans="1:4">
      <c r="A60" s="798" t="s">
        <v>565</v>
      </c>
      <c r="B60" s="798"/>
      <c r="C60" s="798"/>
      <c r="D60" s="611"/>
    </row>
    <row r="61" spans="1:4">
      <c r="A61" s="610"/>
      <c r="B61" s="610" t="s">
        <v>575</v>
      </c>
      <c r="C61" s="610" t="s">
        <v>576</v>
      </c>
    </row>
    <row r="62" spans="1:4">
      <c r="A62" s="610" t="s">
        <v>113</v>
      </c>
      <c r="B62" s="610" t="s">
        <v>577</v>
      </c>
      <c r="C62" s="610" t="s">
        <v>578</v>
      </c>
    </row>
    <row r="63" spans="1:4">
      <c r="A63" s="588">
        <v>101</v>
      </c>
      <c r="B63">
        <v>0</v>
      </c>
      <c r="C63" s="423">
        <v>0</v>
      </c>
    </row>
    <row r="64" spans="1:4">
      <c r="A64" s="588">
        <v>102</v>
      </c>
      <c r="B64">
        <v>0</v>
      </c>
      <c r="C64" s="423">
        <v>0</v>
      </c>
    </row>
    <row r="65" spans="1:3">
      <c r="A65" s="588">
        <v>103</v>
      </c>
      <c r="B65">
        <v>0</v>
      </c>
      <c r="C65" s="423">
        <v>0</v>
      </c>
    </row>
    <row r="66" spans="1:3">
      <c r="A66" s="588">
        <v>105</v>
      </c>
      <c r="B66">
        <v>0</v>
      </c>
      <c r="C66" s="423">
        <v>0</v>
      </c>
    </row>
    <row r="67" spans="1:3">
      <c r="A67" s="588">
        <v>106</v>
      </c>
      <c r="B67">
        <v>0</v>
      </c>
      <c r="C67" s="423">
        <v>0</v>
      </c>
    </row>
    <row r="68" spans="1:3">
      <c r="A68" s="588">
        <v>107</v>
      </c>
      <c r="B68">
        <v>0</v>
      </c>
      <c r="C68" s="423">
        <v>0</v>
      </c>
    </row>
    <row r="69" spans="1:3">
      <c r="A69" s="588">
        <v>108</v>
      </c>
      <c r="B69">
        <v>0</v>
      </c>
      <c r="C69" s="423">
        <v>0</v>
      </c>
    </row>
    <row r="70" spans="1:3">
      <c r="A70" s="588">
        <v>109</v>
      </c>
      <c r="B70">
        <v>0</v>
      </c>
      <c r="C70" s="423">
        <v>0</v>
      </c>
    </row>
    <row r="71" spans="1:3">
      <c r="A71" s="588">
        <v>110</v>
      </c>
      <c r="B71">
        <v>0</v>
      </c>
      <c r="C71" s="423">
        <v>0</v>
      </c>
    </row>
    <row r="72" spans="1:3">
      <c r="A72" s="588">
        <v>111</v>
      </c>
      <c r="B72">
        <v>0</v>
      </c>
      <c r="C72" s="423">
        <v>0</v>
      </c>
    </row>
    <row r="73" spans="1:3">
      <c r="A73" s="638">
        <v>112</v>
      </c>
      <c r="B73" s="607">
        <v>0</v>
      </c>
      <c r="C73" s="605">
        <v>0</v>
      </c>
    </row>
    <row r="74" spans="1:3">
      <c r="A74" s="638">
        <v>113</v>
      </c>
      <c r="B74" s="607">
        <v>0</v>
      </c>
      <c r="C74" s="605">
        <v>0</v>
      </c>
    </row>
    <row r="75" spans="1:3">
      <c r="A75" s="638">
        <v>114</v>
      </c>
      <c r="B75" s="607">
        <v>0</v>
      </c>
      <c r="C75" s="605">
        <v>0</v>
      </c>
    </row>
    <row r="76" spans="1:3">
      <c r="A76" s="588">
        <v>115</v>
      </c>
      <c r="B76">
        <v>0</v>
      </c>
      <c r="C76" s="423">
        <v>0</v>
      </c>
    </row>
    <row r="77" spans="1:3">
      <c r="A77" s="588">
        <v>200</v>
      </c>
      <c r="B77">
        <v>0</v>
      </c>
      <c r="C77" s="423">
        <v>0</v>
      </c>
    </row>
    <row r="78" spans="1:3">
      <c r="A78" s="588">
        <v>202</v>
      </c>
      <c r="B78">
        <v>0</v>
      </c>
      <c r="C78" s="423">
        <v>0</v>
      </c>
    </row>
    <row r="79" spans="1:3">
      <c r="A79" s="588">
        <v>203</v>
      </c>
      <c r="B79">
        <v>0</v>
      </c>
      <c r="C79" s="423">
        <v>0</v>
      </c>
    </row>
    <row r="80" spans="1:3">
      <c r="A80" s="588">
        <v>204</v>
      </c>
      <c r="B80">
        <v>0</v>
      </c>
      <c r="C80" s="423">
        <v>0</v>
      </c>
    </row>
    <row r="81" spans="1:3">
      <c r="A81" s="588">
        <v>205</v>
      </c>
      <c r="B81">
        <v>0</v>
      </c>
      <c r="C81" s="423">
        <v>0</v>
      </c>
    </row>
    <row r="82" spans="1:3">
      <c r="A82" s="588">
        <v>206</v>
      </c>
      <c r="B82">
        <v>0</v>
      </c>
      <c r="C82" s="423">
        <v>0</v>
      </c>
    </row>
    <row r="83" spans="1:3">
      <c r="A83" s="588">
        <v>207</v>
      </c>
      <c r="B83">
        <v>0</v>
      </c>
      <c r="C83" s="423">
        <v>0</v>
      </c>
    </row>
    <row r="84" spans="1:3">
      <c r="A84" s="588">
        <v>208</v>
      </c>
      <c r="B84" s="575">
        <v>0</v>
      </c>
      <c r="C84" s="423">
        <v>0</v>
      </c>
    </row>
    <row r="85" spans="1:3">
      <c r="A85" s="588">
        <v>209</v>
      </c>
      <c r="B85" t="s">
        <v>114</v>
      </c>
      <c r="C85" s="423">
        <v>1</v>
      </c>
    </row>
    <row r="86" spans="1:3">
      <c r="A86" s="588">
        <v>210</v>
      </c>
      <c r="B86">
        <v>0</v>
      </c>
      <c r="C86" s="423">
        <v>0</v>
      </c>
    </row>
    <row r="87" spans="1:3">
      <c r="A87" s="588">
        <v>211</v>
      </c>
      <c r="B87">
        <v>0</v>
      </c>
      <c r="C87" s="423">
        <v>0</v>
      </c>
    </row>
    <row r="88" spans="1:3">
      <c r="A88" s="588">
        <v>212</v>
      </c>
      <c r="B88">
        <v>0</v>
      </c>
      <c r="C88" s="423">
        <v>0</v>
      </c>
    </row>
    <row r="89" spans="1:3">
      <c r="A89" s="588">
        <v>214</v>
      </c>
      <c r="B89">
        <v>0</v>
      </c>
      <c r="C89" s="423">
        <v>0</v>
      </c>
    </row>
    <row r="90" spans="1:3">
      <c r="A90" s="588">
        <v>215</v>
      </c>
      <c r="B90">
        <v>0</v>
      </c>
      <c r="C90" s="423">
        <v>0</v>
      </c>
    </row>
    <row r="91" spans="1:3">
      <c r="A91" s="588">
        <v>216</v>
      </c>
      <c r="B91">
        <v>0</v>
      </c>
      <c r="C91" s="423">
        <v>0</v>
      </c>
    </row>
    <row r="92" spans="1:3">
      <c r="A92" s="588">
        <v>217</v>
      </c>
      <c r="B92">
        <v>0</v>
      </c>
      <c r="C92" s="423">
        <v>0</v>
      </c>
    </row>
    <row r="93" spans="1:3">
      <c r="A93" s="588">
        <v>218</v>
      </c>
      <c r="B93">
        <v>0</v>
      </c>
      <c r="C93" s="423">
        <v>0</v>
      </c>
    </row>
    <row r="94" spans="1:3">
      <c r="A94" s="588">
        <v>219</v>
      </c>
      <c r="B94">
        <v>0</v>
      </c>
      <c r="C94" s="423">
        <v>0</v>
      </c>
    </row>
    <row r="95" spans="1:3">
      <c r="A95" s="588">
        <v>220</v>
      </c>
      <c r="B95">
        <v>0</v>
      </c>
      <c r="C95" s="423">
        <v>0</v>
      </c>
    </row>
    <row r="96" spans="1:3">
      <c r="A96" s="588">
        <v>223</v>
      </c>
      <c r="B96">
        <v>0</v>
      </c>
      <c r="C96" s="423">
        <v>0</v>
      </c>
    </row>
    <row r="97" spans="1:3">
      <c r="A97" s="588">
        <v>224</v>
      </c>
      <c r="B97">
        <v>0</v>
      </c>
      <c r="C97" s="423">
        <v>0</v>
      </c>
    </row>
    <row r="98" spans="1:3">
      <c r="A98" s="588">
        <v>225</v>
      </c>
      <c r="B98">
        <v>0</v>
      </c>
      <c r="C98" s="423">
        <v>0</v>
      </c>
    </row>
    <row r="99" spans="1:3">
      <c r="A99" s="588">
        <v>226</v>
      </c>
      <c r="B99">
        <v>0</v>
      </c>
      <c r="C99" s="423">
        <v>0</v>
      </c>
    </row>
    <row r="100" spans="1:3">
      <c r="A100" s="588">
        <v>227</v>
      </c>
      <c r="B100">
        <v>0</v>
      </c>
      <c r="C100" s="423">
        <v>0</v>
      </c>
    </row>
    <row r="101" spans="1:3">
      <c r="A101" s="588">
        <v>229</v>
      </c>
      <c r="B101" t="s">
        <v>114</v>
      </c>
      <c r="C101" s="423">
        <v>1</v>
      </c>
    </row>
    <row r="102" spans="1:3">
      <c r="A102" s="588">
        <v>230</v>
      </c>
      <c r="B102">
        <v>0</v>
      </c>
      <c r="C102" s="423">
        <v>0</v>
      </c>
    </row>
    <row r="103" spans="1:3">
      <c r="A103" s="588">
        <v>231</v>
      </c>
      <c r="B103">
        <v>0</v>
      </c>
      <c r="C103" s="423">
        <v>0</v>
      </c>
    </row>
    <row r="104" spans="1:3">
      <c r="A104" s="588">
        <v>232</v>
      </c>
      <c r="B104">
        <v>0</v>
      </c>
      <c r="C104" s="423">
        <v>0</v>
      </c>
    </row>
    <row r="105" spans="1:3">
      <c r="A105" s="588">
        <v>233</v>
      </c>
      <c r="B105" t="s">
        <v>114</v>
      </c>
      <c r="C105" s="423">
        <v>1</v>
      </c>
    </row>
    <row r="106" spans="1:3">
      <c r="A106" s="588">
        <v>234</v>
      </c>
      <c r="B106">
        <v>0</v>
      </c>
      <c r="C106" s="423">
        <v>0</v>
      </c>
    </row>
    <row r="107" spans="1:3">
      <c r="A107" s="588">
        <v>235</v>
      </c>
      <c r="B107">
        <v>0</v>
      </c>
      <c r="C107" s="423">
        <v>0</v>
      </c>
    </row>
    <row r="108" spans="1:3">
      <c r="A108" s="588">
        <v>237</v>
      </c>
      <c r="B108">
        <v>0</v>
      </c>
      <c r="C108" s="423">
        <v>0</v>
      </c>
    </row>
    <row r="109" spans="1:3">
      <c r="A109" s="588">
        <v>239</v>
      </c>
      <c r="B109">
        <v>0</v>
      </c>
      <c r="C109" s="423">
        <v>0</v>
      </c>
    </row>
    <row r="110" spans="1:3">
      <c r="A110" s="588">
        <v>240</v>
      </c>
      <c r="B110">
        <v>0</v>
      </c>
      <c r="C110" s="423">
        <v>0</v>
      </c>
    </row>
    <row r="111" spans="1:3">
      <c r="A111" s="588">
        <v>241</v>
      </c>
      <c r="B111">
        <v>0</v>
      </c>
      <c r="C111" s="423">
        <v>0</v>
      </c>
    </row>
    <row r="112" spans="1:3">
      <c r="A112" s="588">
        <v>242</v>
      </c>
      <c r="B112">
        <v>0</v>
      </c>
      <c r="C112" s="423">
        <v>0</v>
      </c>
    </row>
    <row r="113" spans="1:3">
      <c r="A113" s="588">
        <v>243</v>
      </c>
      <c r="B113">
        <v>0</v>
      </c>
      <c r="C113" s="423">
        <v>0</v>
      </c>
    </row>
    <row r="114" spans="1:3">
      <c r="A114" s="588">
        <v>244</v>
      </c>
      <c r="B114">
        <v>0</v>
      </c>
      <c r="C114" s="423">
        <v>0</v>
      </c>
    </row>
    <row r="115" spans="1:3">
      <c r="A115" s="588">
        <v>245</v>
      </c>
      <c r="B115">
        <v>0</v>
      </c>
      <c r="C115" s="423">
        <v>0</v>
      </c>
    </row>
    <row r="116" spans="1:3">
      <c r="A116" s="588">
        <v>246</v>
      </c>
      <c r="B116">
        <v>0</v>
      </c>
      <c r="C116" s="423">
        <v>0</v>
      </c>
    </row>
    <row r="117" spans="1:3">
      <c r="A117" s="588">
        <v>247</v>
      </c>
      <c r="B117">
        <v>0</v>
      </c>
      <c r="C117" s="423">
        <v>0</v>
      </c>
    </row>
    <row r="118" spans="1:3">
      <c r="A118" s="588">
        <v>248</v>
      </c>
      <c r="B118">
        <v>0</v>
      </c>
      <c r="C118" s="423">
        <v>0</v>
      </c>
    </row>
    <row r="119" spans="1:3">
      <c r="A119" s="588">
        <v>249</v>
      </c>
      <c r="B119">
        <v>0</v>
      </c>
      <c r="C119" s="423">
        <v>0</v>
      </c>
    </row>
    <row r="120" spans="1:3">
      <c r="A120" s="588">
        <v>250</v>
      </c>
      <c r="B120">
        <v>0</v>
      </c>
      <c r="C120" s="423">
        <v>0</v>
      </c>
    </row>
    <row r="121" spans="1:3">
      <c r="A121" s="588">
        <v>251</v>
      </c>
      <c r="B121">
        <v>0</v>
      </c>
      <c r="C121" s="423">
        <v>0</v>
      </c>
    </row>
    <row r="122" spans="1:3">
      <c r="A122" s="588">
        <v>252</v>
      </c>
      <c r="B122">
        <v>0</v>
      </c>
      <c r="C122" s="423">
        <v>0</v>
      </c>
    </row>
    <row r="123" spans="1:3">
      <c r="A123" s="588">
        <v>253</v>
      </c>
      <c r="B123">
        <v>0</v>
      </c>
      <c r="C123" s="423">
        <v>0</v>
      </c>
    </row>
    <row r="124" spans="1:3">
      <c r="A124" s="588">
        <v>254</v>
      </c>
      <c r="B124">
        <v>0</v>
      </c>
      <c r="C124" s="423">
        <v>0</v>
      </c>
    </row>
    <row r="125" spans="1:3">
      <c r="A125" s="588">
        <v>255</v>
      </c>
      <c r="B125">
        <v>0</v>
      </c>
      <c r="C125" s="423">
        <v>0</v>
      </c>
    </row>
    <row r="126" spans="1:3">
      <c r="A126" s="588">
        <v>256</v>
      </c>
      <c r="B126">
        <v>0</v>
      </c>
      <c r="C126" s="423">
        <v>0</v>
      </c>
    </row>
    <row r="127" spans="1:3">
      <c r="A127" s="588">
        <v>257</v>
      </c>
      <c r="B127">
        <v>0</v>
      </c>
      <c r="C127" s="423">
        <v>0</v>
      </c>
    </row>
    <row r="128" spans="1:3">
      <c r="A128" s="588">
        <v>258</v>
      </c>
      <c r="B128">
        <v>0</v>
      </c>
      <c r="C128" s="423">
        <v>0</v>
      </c>
    </row>
    <row r="129" spans="1:3">
      <c r="A129" s="588">
        <v>259</v>
      </c>
      <c r="B129">
        <v>0</v>
      </c>
      <c r="C129" s="423">
        <v>0</v>
      </c>
    </row>
    <row r="130" spans="1:3">
      <c r="A130" s="588">
        <v>260</v>
      </c>
      <c r="B130">
        <v>0</v>
      </c>
      <c r="C130" s="423">
        <v>0</v>
      </c>
    </row>
    <row r="131" spans="1:3">
      <c r="A131" s="588">
        <v>261</v>
      </c>
      <c r="B131">
        <v>0</v>
      </c>
      <c r="C131" s="423">
        <v>0</v>
      </c>
    </row>
    <row r="132" spans="1:3">
      <c r="A132" s="588">
        <v>262</v>
      </c>
      <c r="B132">
        <v>0</v>
      </c>
      <c r="C132" s="423">
        <v>0</v>
      </c>
    </row>
    <row r="133" spans="1:3">
      <c r="A133" s="588">
        <v>263</v>
      </c>
      <c r="B133">
        <v>0</v>
      </c>
      <c r="C133" s="423">
        <v>0</v>
      </c>
    </row>
    <row r="134" spans="1:3">
      <c r="A134" s="588">
        <v>264</v>
      </c>
      <c r="B134">
        <v>0</v>
      </c>
      <c r="C134" s="423">
        <v>0</v>
      </c>
    </row>
    <row r="135" spans="1:3">
      <c r="A135" s="588">
        <v>265</v>
      </c>
      <c r="B135">
        <v>0</v>
      </c>
      <c r="C135" s="423">
        <v>0</v>
      </c>
    </row>
    <row r="136" spans="1:3">
      <c r="A136" s="588">
        <v>266</v>
      </c>
      <c r="B136">
        <v>0</v>
      </c>
      <c r="C136" s="423">
        <v>0</v>
      </c>
    </row>
    <row r="137" spans="1:3">
      <c r="A137" s="588">
        <v>267</v>
      </c>
      <c r="B137">
        <v>0</v>
      </c>
      <c r="C137" s="423">
        <v>0</v>
      </c>
    </row>
    <row r="138" spans="1:3">
      <c r="A138" s="588">
        <v>268</v>
      </c>
      <c r="B138">
        <v>0</v>
      </c>
      <c r="C138" s="423">
        <v>0</v>
      </c>
    </row>
    <row r="139" spans="1:3">
      <c r="A139" s="588">
        <v>269</v>
      </c>
      <c r="B139">
        <v>0</v>
      </c>
      <c r="C139" s="423">
        <v>0</v>
      </c>
    </row>
    <row r="140" spans="1:3">
      <c r="A140" s="588">
        <v>270</v>
      </c>
      <c r="B140">
        <v>0</v>
      </c>
      <c r="C140" s="423">
        <v>0</v>
      </c>
    </row>
    <row r="141" spans="1:3">
      <c r="A141" s="588">
        <v>271</v>
      </c>
      <c r="B141">
        <v>0</v>
      </c>
      <c r="C141" s="423">
        <v>0</v>
      </c>
    </row>
    <row r="142" spans="1:3">
      <c r="A142" s="588">
        <v>272</v>
      </c>
      <c r="B142">
        <v>0</v>
      </c>
      <c r="C142" s="423">
        <v>0</v>
      </c>
    </row>
    <row r="143" spans="1:3">
      <c r="A143" s="588">
        <v>273</v>
      </c>
      <c r="B143">
        <v>0</v>
      </c>
      <c r="C143" s="423">
        <v>0</v>
      </c>
    </row>
    <row r="144" spans="1:3">
      <c r="A144" s="588">
        <v>274</v>
      </c>
      <c r="B144">
        <v>0</v>
      </c>
      <c r="C144" s="423">
        <v>0</v>
      </c>
    </row>
    <row r="145" spans="1:3">
      <c r="A145" s="588">
        <v>275</v>
      </c>
      <c r="B145">
        <v>0</v>
      </c>
      <c r="C145" s="423">
        <v>0</v>
      </c>
    </row>
    <row r="146" spans="1:3">
      <c r="A146" s="588">
        <v>281</v>
      </c>
      <c r="B146">
        <v>0</v>
      </c>
      <c r="C146" s="423">
        <v>0</v>
      </c>
    </row>
    <row r="147" spans="1:3">
      <c r="A147" s="588">
        <v>282</v>
      </c>
      <c r="B147">
        <v>0</v>
      </c>
      <c r="C147" s="423">
        <v>0</v>
      </c>
    </row>
    <row r="148" spans="1:3">
      <c r="A148" s="588">
        <v>283</v>
      </c>
      <c r="B148">
        <v>0</v>
      </c>
      <c r="C148" s="423">
        <v>0</v>
      </c>
    </row>
    <row r="149" spans="1:3">
      <c r="A149" s="588">
        <v>284</v>
      </c>
      <c r="B149">
        <v>0</v>
      </c>
      <c r="C149" s="423">
        <v>0</v>
      </c>
    </row>
    <row r="150" spans="1:3">
      <c r="A150" s="588">
        <v>285</v>
      </c>
      <c r="B150">
        <v>0</v>
      </c>
      <c r="C150" s="423">
        <v>0</v>
      </c>
    </row>
    <row r="151" spans="1:3">
      <c r="A151" s="588">
        <v>286</v>
      </c>
      <c r="B151">
        <v>0</v>
      </c>
      <c r="C151" s="423">
        <v>0</v>
      </c>
    </row>
    <row r="152" spans="1:3">
      <c r="A152" s="588">
        <v>287</v>
      </c>
      <c r="B152">
        <v>0</v>
      </c>
      <c r="C152" s="423">
        <v>0</v>
      </c>
    </row>
    <row r="153" spans="1:3">
      <c r="A153" s="588">
        <v>288</v>
      </c>
      <c r="B153">
        <v>0</v>
      </c>
      <c r="C153" s="423">
        <v>0</v>
      </c>
    </row>
    <row r="154" spans="1:3">
      <c r="A154" s="588">
        <v>289</v>
      </c>
      <c r="B154">
        <v>0</v>
      </c>
      <c r="C154" s="423">
        <v>0</v>
      </c>
    </row>
    <row r="155" spans="1:3">
      <c r="A155" s="588">
        <v>290</v>
      </c>
      <c r="B155">
        <v>0</v>
      </c>
      <c r="C155" s="423">
        <v>0</v>
      </c>
    </row>
    <row r="156" spans="1:3">
      <c r="A156" s="588">
        <v>291</v>
      </c>
      <c r="B156">
        <v>0</v>
      </c>
      <c r="C156" s="423">
        <v>0</v>
      </c>
    </row>
    <row r="157" spans="1:3">
      <c r="A157" s="588">
        <v>292</v>
      </c>
      <c r="B157">
        <v>0</v>
      </c>
      <c r="C157" s="423">
        <v>0</v>
      </c>
    </row>
    <row r="158" spans="1:3">
      <c r="A158" s="588">
        <v>293</v>
      </c>
      <c r="B158">
        <v>0</v>
      </c>
      <c r="C158" s="423">
        <v>0</v>
      </c>
    </row>
    <row r="159" spans="1:3">
      <c r="A159" s="588">
        <v>294</v>
      </c>
      <c r="B159">
        <v>0</v>
      </c>
      <c r="C159" s="423">
        <v>0</v>
      </c>
    </row>
    <row r="160" spans="1:3">
      <c r="A160" s="588">
        <v>297</v>
      </c>
      <c r="B160">
        <v>0</v>
      </c>
      <c r="C160" s="423">
        <v>0</v>
      </c>
    </row>
    <row r="161" spans="1:3">
      <c r="A161" s="588">
        <v>298</v>
      </c>
      <c r="B161">
        <v>0</v>
      </c>
      <c r="C161" s="423">
        <v>0</v>
      </c>
    </row>
    <row r="162" spans="1:3">
      <c r="A162" s="588">
        <v>299</v>
      </c>
      <c r="B162">
        <v>0</v>
      </c>
      <c r="C162" s="423">
        <v>0</v>
      </c>
    </row>
    <row r="163" spans="1:3">
      <c r="A163" s="588">
        <v>300</v>
      </c>
      <c r="B163">
        <v>0</v>
      </c>
      <c r="C163" s="423">
        <v>0</v>
      </c>
    </row>
    <row r="164" spans="1:3">
      <c r="A164" s="588">
        <v>303</v>
      </c>
      <c r="B164">
        <v>0</v>
      </c>
      <c r="C164" s="423">
        <v>0</v>
      </c>
    </row>
    <row r="165" spans="1:3">
      <c r="A165" s="588">
        <v>305</v>
      </c>
      <c r="B165">
        <v>0</v>
      </c>
      <c r="C165" s="423">
        <v>0</v>
      </c>
    </row>
    <row r="166" spans="1:3">
      <c r="A166" s="588">
        <v>306</v>
      </c>
      <c r="B166">
        <v>0</v>
      </c>
      <c r="C166" s="423">
        <v>0</v>
      </c>
    </row>
    <row r="167" spans="1:3">
      <c r="A167" s="588">
        <v>307</v>
      </c>
      <c r="B167">
        <v>0</v>
      </c>
      <c r="C167" s="423">
        <v>0</v>
      </c>
    </row>
    <row r="168" spans="1:3">
      <c r="A168" s="588">
        <v>308</v>
      </c>
      <c r="B168">
        <v>0</v>
      </c>
      <c r="C168" s="423">
        <v>0</v>
      </c>
    </row>
    <row r="169" spans="1:3">
      <c r="A169" s="588">
        <v>309</v>
      </c>
      <c r="B169">
        <v>0</v>
      </c>
      <c r="C169" s="423">
        <v>0</v>
      </c>
    </row>
    <row r="170" spans="1:3">
      <c r="A170" s="588">
        <v>310</v>
      </c>
      <c r="B170">
        <v>0</v>
      </c>
      <c r="C170" s="423">
        <v>0</v>
      </c>
    </row>
    <row r="171" spans="1:3">
      <c r="A171" s="588">
        <v>311</v>
      </c>
      <c r="B171">
        <v>0</v>
      </c>
      <c r="C171" s="423">
        <v>0</v>
      </c>
    </row>
    <row r="172" spans="1:3">
      <c r="A172" s="588">
        <v>312</v>
      </c>
      <c r="B172">
        <v>0</v>
      </c>
      <c r="C172" s="423">
        <v>0</v>
      </c>
    </row>
    <row r="173" spans="1:3">
      <c r="A173" s="588">
        <v>313</v>
      </c>
      <c r="B173">
        <v>0</v>
      </c>
      <c r="C173" s="423">
        <v>0</v>
      </c>
    </row>
    <row r="174" spans="1:3">
      <c r="A174" s="588">
        <v>314</v>
      </c>
      <c r="B174">
        <v>0</v>
      </c>
      <c r="C174" s="423">
        <v>0</v>
      </c>
    </row>
    <row r="175" spans="1:3">
      <c r="A175" s="588">
        <v>315</v>
      </c>
      <c r="B175">
        <v>0</v>
      </c>
      <c r="C175" s="423">
        <v>0</v>
      </c>
    </row>
    <row r="176" spans="1:3">
      <c r="A176" s="588">
        <v>316</v>
      </c>
      <c r="B176">
        <v>0</v>
      </c>
      <c r="C176" s="423">
        <v>0</v>
      </c>
    </row>
    <row r="177" spans="1:3">
      <c r="A177" s="588">
        <v>320</v>
      </c>
      <c r="B177">
        <v>0</v>
      </c>
      <c r="C177" s="423">
        <v>0</v>
      </c>
    </row>
    <row r="178" spans="1:3">
      <c r="A178" s="588">
        <v>321</v>
      </c>
      <c r="B178">
        <v>0</v>
      </c>
      <c r="C178" s="423">
        <v>0</v>
      </c>
    </row>
    <row r="179" spans="1:3">
      <c r="A179" s="588">
        <v>322</v>
      </c>
      <c r="B179">
        <v>0</v>
      </c>
      <c r="C179" s="423">
        <v>0</v>
      </c>
    </row>
    <row r="180" spans="1:3">
      <c r="A180" s="588">
        <v>323</v>
      </c>
      <c r="B180">
        <v>0</v>
      </c>
      <c r="C180" s="423">
        <v>0</v>
      </c>
    </row>
    <row r="181" spans="1:3">
      <c r="A181" s="588">
        <v>325</v>
      </c>
      <c r="B181">
        <v>0</v>
      </c>
      <c r="C181" s="423">
        <v>0</v>
      </c>
    </row>
    <row r="182" spans="1:3">
      <c r="A182" s="588">
        <v>326</v>
      </c>
      <c r="B182">
        <v>0</v>
      </c>
      <c r="C182" s="423">
        <v>0</v>
      </c>
    </row>
    <row r="183" spans="1:3">
      <c r="A183" s="588">
        <v>327</v>
      </c>
      <c r="B183">
        <v>0</v>
      </c>
      <c r="C183" s="423">
        <v>0</v>
      </c>
    </row>
    <row r="184" spans="1:3">
      <c r="A184" s="588">
        <v>329</v>
      </c>
      <c r="B184">
        <v>0</v>
      </c>
      <c r="C184" s="423">
        <v>0</v>
      </c>
    </row>
    <row r="185" spans="1:3">
      <c r="A185" s="588">
        <v>330</v>
      </c>
      <c r="B185">
        <v>0</v>
      </c>
      <c r="C185" s="423">
        <v>0</v>
      </c>
    </row>
    <row r="186" spans="1:3">
      <c r="A186" s="588">
        <v>331</v>
      </c>
      <c r="B186">
        <v>0</v>
      </c>
      <c r="C186" s="423">
        <v>0</v>
      </c>
    </row>
    <row r="187" spans="1:3">
      <c r="A187" s="588">
        <v>332</v>
      </c>
      <c r="B187">
        <v>0</v>
      </c>
      <c r="C187" s="423">
        <v>0</v>
      </c>
    </row>
    <row r="188" spans="1:3">
      <c r="A188" s="588">
        <v>333</v>
      </c>
      <c r="B188">
        <v>0</v>
      </c>
      <c r="C188" s="423">
        <v>0</v>
      </c>
    </row>
    <row r="189" spans="1:3">
      <c r="A189" s="588">
        <v>334</v>
      </c>
      <c r="B189">
        <v>0</v>
      </c>
      <c r="C189" s="423">
        <v>0</v>
      </c>
    </row>
    <row r="190" spans="1:3">
      <c r="A190" s="588">
        <v>335</v>
      </c>
      <c r="B190">
        <v>0</v>
      </c>
      <c r="C190" s="423">
        <v>0</v>
      </c>
    </row>
    <row r="191" spans="1:3">
      <c r="A191" s="588">
        <v>336</v>
      </c>
      <c r="B191">
        <v>0</v>
      </c>
      <c r="C191" s="423">
        <v>0</v>
      </c>
    </row>
    <row r="192" spans="1:3">
      <c r="A192" s="588">
        <v>337</v>
      </c>
      <c r="B192">
        <v>0</v>
      </c>
      <c r="C192" s="423">
        <v>0</v>
      </c>
    </row>
    <row r="193" spans="1:3">
      <c r="A193" s="588">
        <v>338</v>
      </c>
      <c r="B193">
        <v>0</v>
      </c>
      <c r="C193" s="423">
        <v>0</v>
      </c>
    </row>
    <row r="194" spans="1:3">
      <c r="A194" s="588">
        <v>339</v>
      </c>
      <c r="B194">
        <v>0</v>
      </c>
      <c r="C194" s="423">
        <v>0</v>
      </c>
    </row>
    <row r="195" spans="1:3">
      <c r="A195" s="588">
        <v>340</v>
      </c>
      <c r="B195">
        <v>0</v>
      </c>
      <c r="C195" s="423">
        <v>0</v>
      </c>
    </row>
    <row r="196" spans="1:3">
      <c r="A196" s="588">
        <v>341</v>
      </c>
      <c r="B196">
        <v>0</v>
      </c>
      <c r="C196" s="423">
        <v>0</v>
      </c>
    </row>
    <row r="197" spans="1:3">
      <c r="A197" s="588">
        <v>342</v>
      </c>
      <c r="B197">
        <v>0</v>
      </c>
      <c r="C197" s="423">
        <v>0</v>
      </c>
    </row>
    <row r="198" spans="1:3">
      <c r="A198" s="588">
        <v>343</v>
      </c>
      <c r="B198">
        <v>0</v>
      </c>
      <c r="C198" s="423">
        <v>0</v>
      </c>
    </row>
    <row r="199" spans="1:3">
      <c r="A199" s="588">
        <v>344</v>
      </c>
      <c r="B199">
        <v>0</v>
      </c>
      <c r="C199" s="423">
        <v>0</v>
      </c>
    </row>
    <row r="200" spans="1:3">
      <c r="A200" s="588">
        <v>345</v>
      </c>
      <c r="B200">
        <v>0</v>
      </c>
      <c r="C200" s="423">
        <v>0</v>
      </c>
    </row>
    <row r="201" spans="1:3">
      <c r="A201" s="588">
        <v>346</v>
      </c>
      <c r="B201">
        <v>0</v>
      </c>
      <c r="C201" s="423">
        <v>0</v>
      </c>
    </row>
    <row r="202" spans="1:3">
      <c r="A202" s="588">
        <v>347</v>
      </c>
      <c r="B202">
        <v>0</v>
      </c>
      <c r="C202" s="423">
        <v>0</v>
      </c>
    </row>
    <row r="203" spans="1:3">
      <c r="A203" s="588">
        <v>348</v>
      </c>
      <c r="B203">
        <v>0</v>
      </c>
      <c r="C203" s="423">
        <v>0</v>
      </c>
    </row>
    <row r="204" spans="1:3">
      <c r="A204" s="588">
        <v>349</v>
      </c>
      <c r="B204">
        <v>0</v>
      </c>
      <c r="C204" s="423">
        <v>0</v>
      </c>
    </row>
    <row r="205" spans="1:3">
      <c r="A205" s="588">
        <v>350</v>
      </c>
      <c r="B205">
        <v>0</v>
      </c>
      <c r="C205" s="423">
        <v>0</v>
      </c>
    </row>
    <row r="206" spans="1:3">
      <c r="A206" s="588">
        <v>351</v>
      </c>
      <c r="B206">
        <v>0</v>
      </c>
      <c r="C206" s="423">
        <v>0</v>
      </c>
    </row>
    <row r="207" spans="1:3">
      <c r="A207" s="588">
        <v>352</v>
      </c>
      <c r="B207">
        <v>0</v>
      </c>
      <c r="C207" s="423">
        <v>0</v>
      </c>
    </row>
    <row r="208" spans="1:3">
      <c r="A208" s="588">
        <v>353</v>
      </c>
      <c r="B208">
        <v>0</v>
      </c>
      <c r="C208" s="423">
        <v>0</v>
      </c>
    </row>
    <row r="209" spans="1:3">
      <c r="A209" s="588">
        <v>355</v>
      </c>
      <c r="B209">
        <v>0</v>
      </c>
      <c r="C209" s="423">
        <v>0</v>
      </c>
    </row>
    <row r="210" spans="1:3">
      <c r="A210" s="588">
        <v>356</v>
      </c>
      <c r="B210">
        <v>0</v>
      </c>
      <c r="C210" s="423">
        <v>0</v>
      </c>
    </row>
    <row r="211" spans="1:3">
      <c r="A211" s="588">
        <v>357</v>
      </c>
      <c r="B211">
        <v>0</v>
      </c>
      <c r="C211" s="423">
        <v>0</v>
      </c>
    </row>
    <row r="212" spans="1:3">
      <c r="A212" s="588">
        <v>358</v>
      </c>
      <c r="B212">
        <v>0</v>
      </c>
      <c r="C212" s="423">
        <v>0</v>
      </c>
    </row>
    <row r="213" spans="1:3">
      <c r="A213" s="588">
        <v>359</v>
      </c>
      <c r="B213">
        <v>0</v>
      </c>
      <c r="C213" s="423">
        <v>0</v>
      </c>
    </row>
    <row r="214" spans="1:3">
      <c r="A214" s="588">
        <v>360</v>
      </c>
      <c r="B214">
        <v>0</v>
      </c>
      <c r="C214" s="423">
        <v>0</v>
      </c>
    </row>
    <row r="215" spans="1:3">
      <c r="A215" s="588">
        <v>361</v>
      </c>
      <c r="B215">
        <v>0</v>
      </c>
      <c r="C215" s="423">
        <v>0</v>
      </c>
    </row>
    <row r="216" spans="1:3">
      <c r="A216" s="588">
        <v>362</v>
      </c>
      <c r="B216">
        <v>0</v>
      </c>
      <c r="C216" s="423">
        <v>0</v>
      </c>
    </row>
    <row r="217" spans="1:3">
      <c r="A217" s="588">
        <v>363</v>
      </c>
      <c r="B217">
        <v>0</v>
      </c>
      <c r="C217" s="423">
        <v>0</v>
      </c>
    </row>
    <row r="218" spans="1:3">
      <c r="A218" s="588">
        <v>364</v>
      </c>
      <c r="B218">
        <v>0</v>
      </c>
      <c r="C218" s="423">
        <v>0</v>
      </c>
    </row>
    <row r="219" spans="1:3">
      <c r="A219" s="588">
        <v>365</v>
      </c>
      <c r="B219">
        <v>0</v>
      </c>
      <c r="C219" s="423">
        <v>0</v>
      </c>
    </row>
    <row r="220" spans="1:3">
      <c r="A220" s="588">
        <v>366</v>
      </c>
      <c r="B220">
        <v>0</v>
      </c>
      <c r="C220" s="423">
        <v>0</v>
      </c>
    </row>
    <row r="221" spans="1:3">
      <c r="A221" s="588">
        <v>367</v>
      </c>
      <c r="B221">
        <v>0</v>
      </c>
      <c r="C221" s="423">
        <v>0</v>
      </c>
    </row>
    <row r="222" spans="1:3">
      <c r="A222" s="588">
        <v>368</v>
      </c>
      <c r="B222">
        <v>0</v>
      </c>
      <c r="C222" s="423">
        <v>0</v>
      </c>
    </row>
    <row r="223" spans="1:3">
      <c r="A223" s="588">
        <v>369</v>
      </c>
      <c r="B223">
        <v>0</v>
      </c>
      <c r="C223" s="423">
        <v>0</v>
      </c>
    </row>
    <row r="224" spans="1:3">
      <c r="A224" s="588">
        <v>371</v>
      </c>
      <c r="B224">
        <v>0</v>
      </c>
      <c r="C224" s="423">
        <v>0</v>
      </c>
    </row>
    <row r="225" spans="1:3">
      <c r="A225" s="588">
        <v>372</v>
      </c>
      <c r="B225">
        <v>0</v>
      </c>
      <c r="C225" s="423">
        <v>0</v>
      </c>
    </row>
    <row r="226" spans="1:3">
      <c r="A226" s="588">
        <v>373</v>
      </c>
      <c r="B226">
        <v>0</v>
      </c>
      <c r="C226" s="423">
        <v>0</v>
      </c>
    </row>
    <row r="227" spans="1:3">
      <c r="A227" s="588">
        <v>374</v>
      </c>
      <c r="B227">
        <v>0</v>
      </c>
      <c r="C227" s="423">
        <v>0</v>
      </c>
    </row>
    <row r="228" spans="1:3">
      <c r="A228" s="588">
        <v>375</v>
      </c>
      <c r="B228">
        <v>0</v>
      </c>
      <c r="C228" s="423">
        <v>0</v>
      </c>
    </row>
    <row r="229" spans="1:3">
      <c r="A229" s="588">
        <v>376</v>
      </c>
      <c r="B229">
        <v>0</v>
      </c>
      <c r="C229" s="423">
        <v>0</v>
      </c>
    </row>
    <row r="230" spans="1:3">
      <c r="A230" s="588">
        <v>377</v>
      </c>
      <c r="B230">
        <v>0</v>
      </c>
      <c r="C230" s="423">
        <v>0</v>
      </c>
    </row>
    <row r="231" spans="1:3">
      <c r="A231" s="588">
        <v>378</v>
      </c>
      <c r="B231">
        <v>0</v>
      </c>
      <c r="C231" s="423">
        <v>0</v>
      </c>
    </row>
    <row r="232" spans="1:3">
      <c r="A232" s="588">
        <v>379</v>
      </c>
      <c r="B232">
        <v>0</v>
      </c>
      <c r="C232" s="423">
        <v>0</v>
      </c>
    </row>
    <row r="233" spans="1:3">
      <c r="A233" s="588">
        <v>380</v>
      </c>
      <c r="B233">
        <v>0</v>
      </c>
      <c r="C233" s="423">
        <v>0</v>
      </c>
    </row>
    <row r="234" spans="1:3">
      <c r="A234" s="588">
        <v>381</v>
      </c>
      <c r="B234">
        <v>0</v>
      </c>
      <c r="C234" s="423">
        <v>0</v>
      </c>
    </row>
    <row r="235" spans="1:3">
      <c r="A235" s="588">
        <v>382</v>
      </c>
      <c r="B235">
        <v>0</v>
      </c>
      <c r="C235" s="423">
        <v>0</v>
      </c>
    </row>
    <row r="236" spans="1:3">
      <c r="A236" s="588">
        <v>383</v>
      </c>
      <c r="B236">
        <v>0</v>
      </c>
      <c r="C236" s="423">
        <v>0</v>
      </c>
    </row>
    <row r="237" spans="1:3">
      <c r="A237" s="588">
        <v>384</v>
      </c>
      <c r="B237">
        <v>0</v>
      </c>
      <c r="C237" s="423">
        <v>0</v>
      </c>
    </row>
    <row r="238" spans="1:3">
      <c r="A238" s="588">
        <v>385</v>
      </c>
      <c r="B238">
        <v>0</v>
      </c>
      <c r="C238" s="423">
        <v>0</v>
      </c>
    </row>
    <row r="239" spans="1:3">
      <c r="A239" s="588">
        <v>386</v>
      </c>
      <c r="B239">
        <v>0</v>
      </c>
      <c r="C239" s="423">
        <v>0</v>
      </c>
    </row>
    <row r="240" spans="1:3">
      <c r="A240" s="588">
        <v>387</v>
      </c>
      <c r="B240">
        <v>0</v>
      </c>
      <c r="C240" s="423">
        <v>0</v>
      </c>
    </row>
    <row r="241" spans="1:3">
      <c r="A241" s="588">
        <v>388</v>
      </c>
      <c r="B241">
        <v>0</v>
      </c>
      <c r="C241" s="423">
        <v>0</v>
      </c>
    </row>
    <row r="242" spans="1:3">
      <c r="A242" s="588">
        <v>389</v>
      </c>
      <c r="B242">
        <v>0</v>
      </c>
      <c r="C242" s="423">
        <v>0</v>
      </c>
    </row>
    <row r="243" spans="1:3">
      <c r="A243" s="588">
        <v>390</v>
      </c>
      <c r="B243">
        <v>0</v>
      </c>
      <c r="C243" s="423">
        <v>0</v>
      </c>
    </row>
    <row r="244" spans="1:3">
      <c r="A244" s="588">
        <v>392</v>
      </c>
      <c r="B244">
        <v>0</v>
      </c>
      <c r="C244" s="423">
        <v>0</v>
      </c>
    </row>
    <row r="245" spans="1:3">
      <c r="A245" s="588">
        <v>393</v>
      </c>
      <c r="B245">
        <v>0</v>
      </c>
      <c r="C245" s="423">
        <v>0</v>
      </c>
    </row>
    <row r="246" spans="1:3">
      <c r="A246" s="588">
        <v>394</v>
      </c>
      <c r="B246">
        <v>0</v>
      </c>
      <c r="C246" s="423">
        <v>0</v>
      </c>
    </row>
    <row r="247" spans="1:3">
      <c r="A247" s="588">
        <v>395</v>
      </c>
      <c r="B247">
        <v>0</v>
      </c>
      <c r="C247" s="423">
        <v>0</v>
      </c>
    </row>
    <row r="248" spans="1:3">
      <c r="A248" s="588">
        <v>396</v>
      </c>
      <c r="B248">
        <v>0</v>
      </c>
      <c r="C248" s="423">
        <v>0</v>
      </c>
    </row>
    <row r="249" spans="1:3">
      <c r="A249" s="588">
        <v>397</v>
      </c>
      <c r="B249">
        <v>0</v>
      </c>
      <c r="C249" s="423">
        <v>0</v>
      </c>
    </row>
    <row r="250" spans="1:3">
      <c r="A250" s="588">
        <v>398</v>
      </c>
      <c r="B250">
        <v>0</v>
      </c>
      <c r="C250" s="423">
        <v>0</v>
      </c>
    </row>
    <row r="251" spans="1:3">
      <c r="A251" s="588">
        <v>399</v>
      </c>
      <c r="B251">
        <v>0</v>
      </c>
      <c r="C251" s="423">
        <v>0</v>
      </c>
    </row>
    <row r="252" spans="1:3">
      <c r="A252" s="588">
        <v>400</v>
      </c>
      <c r="B252">
        <v>0</v>
      </c>
      <c r="C252" s="423">
        <v>0</v>
      </c>
    </row>
    <row r="253" spans="1:3">
      <c r="A253" s="588">
        <v>401</v>
      </c>
      <c r="B253">
        <v>0</v>
      </c>
      <c r="C253" s="423">
        <v>0</v>
      </c>
    </row>
    <row r="254" spans="1:3">
      <c r="A254" s="588">
        <v>402</v>
      </c>
      <c r="B254">
        <v>0</v>
      </c>
      <c r="C254" s="423">
        <v>0</v>
      </c>
    </row>
    <row r="255" spans="1:3">
      <c r="A255" s="588">
        <v>403</v>
      </c>
      <c r="B255">
        <v>0</v>
      </c>
      <c r="C255" s="423">
        <v>0</v>
      </c>
    </row>
    <row r="256" spans="1:3">
      <c r="A256" s="588">
        <v>404</v>
      </c>
      <c r="B256">
        <v>0</v>
      </c>
      <c r="C256" s="423">
        <v>0</v>
      </c>
    </row>
    <row r="257" spans="1:3">
      <c r="A257" s="588">
        <v>405</v>
      </c>
      <c r="B257">
        <v>0</v>
      </c>
      <c r="C257" s="423">
        <v>0</v>
      </c>
    </row>
    <row r="258" spans="1:3">
      <c r="A258" s="588">
        <v>407</v>
      </c>
      <c r="B258" s="575" t="s">
        <v>114</v>
      </c>
      <c r="C258" s="423">
        <v>1</v>
      </c>
    </row>
    <row r="259" spans="1:3">
      <c r="A259" s="588">
        <v>408</v>
      </c>
      <c r="B259">
        <v>0</v>
      </c>
      <c r="C259" s="423">
        <v>0</v>
      </c>
    </row>
    <row r="260" spans="1:3">
      <c r="A260" s="588">
        <v>409</v>
      </c>
      <c r="B260">
        <v>0</v>
      </c>
      <c r="C260" s="423">
        <v>0</v>
      </c>
    </row>
    <row r="261" spans="1:3">
      <c r="A261" s="588">
        <v>410</v>
      </c>
      <c r="B261">
        <v>0</v>
      </c>
      <c r="C261" s="423">
        <v>0</v>
      </c>
    </row>
    <row r="262" spans="1:3">
      <c r="A262" s="588">
        <v>411</v>
      </c>
      <c r="B262">
        <v>0</v>
      </c>
      <c r="C262" s="423">
        <v>0</v>
      </c>
    </row>
    <row r="263" spans="1:3">
      <c r="A263" s="588">
        <v>412</v>
      </c>
      <c r="B263">
        <v>0</v>
      </c>
      <c r="C263" s="423">
        <v>0</v>
      </c>
    </row>
    <row r="264" spans="1:3">
      <c r="A264" s="588">
        <v>413</v>
      </c>
      <c r="B264">
        <v>0</v>
      </c>
      <c r="C264" s="423">
        <v>0</v>
      </c>
    </row>
    <row r="265" spans="1:3">
      <c r="A265" s="588">
        <v>415</v>
      </c>
      <c r="B265">
        <v>0</v>
      </c>
      <c r="C265" s="423">
        <v>0</v>
      </c>
    </row>
    <row r="266" spans="1:3">
      <c r="A266" s="588">
        <v>416</v>
      </c>
      <c r="B266">
        <v>0</v>
      </c>
      <c r="C266" s="423">
        <v>0</v>
      </c>
    </row>
    <row r="267" spans="1:3">
      <c r="A267" s="588">
        <v>417</v>
      </c>
      <c r="B267">
        <v>0</v>
      </c>
      <c r="C267" s="423">
        <v>0</v>
      </c>
    </row>
    <row r="268" spans="1:3">
      <c r="A268" s="588">
        <v>418</v>
      </c>
      <c r="B268">
        <v>0</v>
      </c>
      <c r="C268" s="423">
        <v>0</v>
      </c>
    </row>
    <row r="269" spans="1:3">
      <c r="A269" s="588">
        <v>419</v>
      </c>
      <c r="B269">
        <v>0</v>
      </c>
      <c r="C269" s="423">
        <v>0</v>
      </c>
    </row>
    <row r="270" spans="1:3">
      <c r="A270" s="588">
        <v>420</v>
      </c>
      <c r="B270">
        <v>0</v>
      </c>
      <c r="C270" s="423">
        <v>0</v>
      </c>
    </row>
    <row r="271" spans="1:3">
      <c r="A271" s="588">
        <v>421</v>
      </c>
      <c r="B271">
        <v>0</v>
      </c>
      <c r="C271" s="423">
        <v>0</v>
      </c>
    </row>
    <row r="272" spans="1:3">
      <c r="A272" s="588">
        <v>422</v>
      </c>
      <c r="B272">
        <v>0</v>
      </c>
      <c r="C272" s="423">
        <v>0</v>
      </c>
    </row>
    <row r="273" spans="1:3">
      <c r="A273" s="588">
        <v>423</v>
      </c>
      <c r="B273">
        <v>0</v>
      </c>
      <c r="C273" s="423">
        <v>0</v>
      </c>
    </row>
    <row r="274" spans="1:3">
      <c r="A274" s="588">
        <v>426</v>
      </c>
      <c r="B274">
        <v>0</v>
      </c>
      <c r="C274" s="423">
        <v>0</v>
      </c>
    </row>
    <row r="275" spans="1:3">
      <c r="A275" s="588">
        <v>428</v>
      </c>
      <c r="B275">
        <v>0</v>
      </c>
      <c r="C275" s="423">
        <v>0</v>
      </c>
    </row>
    <row r="276" spans="1:3">
      <c r="A276" s="588">
        <v>429</v>
      </c>
      <c r="B276">
        <v>0</v>
      </c>
      <c r="C276" s="423">
        <v>0</v>
      </c>
    </row>
    <row r="277" spans="1:3">
      <c r="A277" s="588">
        <v>430</v>
      </c>
      <c r="B277">
        <v>0</v>
      </c>
      <c r="C277" s="423">
        <v>0</v>
      </c>
    </row>
    <row r="278" spans="1:3">
      <c r="A278" s="588">
        <v>431</v>
      </c>
      <c r="B278">
        <v>0</v>
      </c>
      <c r="C278" s="423">
        <v>0</v>
      </c>
    </row>
    <row r="279" spans="1:3">
      <c r="A279" s="588">
        <v>432</v>
      </c>
      <c r="B279">
        <v>0</v>
      </c>
      <c r="C279" s="423">
        <v>0</v>
      </c>
    </row>
    <row r="280" spans="1:3">
      <c r="A280" s="588">
        <v>434</v>
      </c>
      <c r="B280">
        <v>0</v>
      </c>
      <c r="C280" s="423">
        <v>0</v>
      </c>
    </row>
    <row r="281" spans="1:3">
      <c r="A281" s="588">
        <v>435</v>
      </c>
      <c r="B281">
        <v>0</v>
      </c>
      <c r="C281" s="423">
        <v>0</v>
      </c>
    </row>
    <row r="282" spans="1:3">
      <c r="A282" s="588">
        <v>436</v>
      </c>
      <c r="B282">
        <v>0</v>
      </c>
      <c r="C282" s="423">
        <v>0</v>
      </c>
    </row>
    <row r="283" spans="1:3">
      <c r="A283" s="588">
        <v>437</v>
      </c>
      <c r="B283">
        <v>0</v>
      </c>
      <c r="C283" s="423">
        <v>0</v>
      </c>
    </row>
    <row r="284" spans="1:3">
      <c r="A284" s="588">
        <v>438</v>
      </c>
      <c r="B284">
        <v>0</v>
      </c>
      <c r="C284" s="423">
        <v>0</v>
      </c>
    </row>
    <row r="285" spans="1:3">
      <c r="A285" s="588">
        <v>439</v>
      </c>
      <c r="B285">
        <v>0</v>
      </c>
      <c r="C285" s="423">
        <v>0</v>
      </c>
    </row>
    <row r="286" spans="1:3">
      <c r="A286" s="588">
        <v>440</v>
      </c>
      <c r="B286">
        <v>0</v>
      </c>
      <c r="C286" s="423">
        <v>0</v>
      </c>
    </row>
    <row r="287" spans="1:3">
      <c r="A287" s="588">
        <v>443</v>
      </c>
      <c r="B287">
        <v>0</v>
      </c>
      <c r="C287" s="423">
        <v>0</v>
      </c>
    </row>
    <row r="288" spans="1:3">
      <c r="A288" s="588">
        <v>444</v>
      </c>
      <c r="B288">
        <v>0</v>
      </c>
      <c r="C288" s="423">
        <v>0</v>
      </c>
    </row>
    <row r="289" spans="1:3">
      <c r="A289" s="588">
        <v>445</v>
      </c>
      <c r="B289">
        <v>0</v>
      </c>
      <c r="C289" s="423">
        <v>0</v>
      </c>
    </row>
    <row r="290" spans="1:3">
      <c r="A290" s="588">
        <v>446</v>
      </c>
      <c r="B290">
        <v>0</v>
      </c>
      <c r="C290" s="423">
        <v>0</v>
      </c>
    </row>
    <row r="291" spans="1:3">
      <c r="A291" s="588">
        <v>447</v>
      </c>
      <c r="B291">
        <v>0</v>
      </c>
      <c r="C291" s="423">
        <v>0</v>
      </c>
    </row>
    <row r="292" spans="1:3">
      <c r="A292" s="588">
        <v>448</v>
      </c>
      <c r="B292" t="s">
        <v>114</v>
      </c>
      <c r="C292" s="423">
        <v>1</v>
      </c>
    </row>
    <row r="293" spans="1:3">
      <c r="A293" s="588">
        <v>449</v>
      </c>
      <c r="B293">
        <v>0</v>
      </c>
      <c r="C293" s="423">
        <v>0</v>
      </c>
    </row>
    <row r="294" spans="1:3">
      <c r="A294" s="588">
        <v>450</v>
      </c>
      <c r="B294">
        <v>0</v>
      </c>
      <c r="C294" s="423">
        <v>0</v>
      </c>
    </row>
    <row r="295" spans="1:3">
      <c r="A295" s="588">
        <v>452</v>
      </c>
      <c r="B295">
        <v>0</v>
      </c>
      <c r="C295" s="423">
        <v>0</v>
      </c>
    </row>
    <row r="296" spans="1:3">
      <c r="A296" s="588">
        <v>453</v>
      </c>
      <c r="B296">
        <v>0</v>
      </c>
      <c r="C296" s="423">
        <v>0</v>
      </c>
    </row>
    <row r="297" spans="1:3">
      <c r="A297" s="588">
        <v>454</v>
      </c>
      <c r="B297">
        <v>0</v>
      </c>
      <c r="C297" s="423">
        <v>0</v>
      </c>
    </row>
    <row r="298" spans="1:3">
      <c r="A298" s="588">
        <v>456</v>
      </c>
      <c r="B298">
        <v>0</v>
      </c>
      <c r="C298" s="423">
        <v>0</v>
      </c>
    </row>
    <row r="299" spans="1:3">
      <c r="A299" s="588">
        <v>457</v>
      </c>
      <c r="B299">
        <v>0</v>
      </c>
      <c r="C299" s="423">
        <v>0</v>
      </c>
    </row>
    <row r="300" spans="1:3">
      <c r="A300" s="588">
        <v>458</v>
      </c>
      <c r="B300">
        <v>0</v>
      </c>
      <c r="C300" s="423">
        <v>0</v>
      </c>
    </row>
    <row r="301" spans="1:3">
      <c r="A301" s="588">
        <v>459</v>
      </c>
      <c r="B301">
        <v>0</v>
      </c>
      <c r="C301" s="423">
        <v>0</v>
      </c>
    </row>
    <row r="302" spans="1:3">
      <c r="A302" s="588">
        <v>460</v>
      </c>
      <c r="B302">
        <v>0</v>
      </c>
      <c r="C302" s="423">
        <v>0</v>
      </c>
    </row>
    <row r="303" spans="1:3">
      <c r="A303" s="588">
        <v>461</v>
      </c>
      <c r="B303">
        <v>0</v>
      </c>
      <c r="C303" s="423">
        <v>0</v>
      </c>
    </row>
    <row r="304" spans="1:3">
      <c r="A304" s="588">
        <v>462</v>
      </c>
      <c r="B304">
        <v>0</v>
      </c>
      <c r="C304" s="423">
        <v>0</v>
      </c>
    </row>
    <row r="305" spans="1:3">
      <c r="A305" s="588">
        <v>463</v>
      </c>
      <c r="B305">
        <v>0</v>
      </c>
      <c r="C305" s="423">
        <v>0</v>
      </c>
    </row>
    <row r="306" spans="1:3">
      <c r="A306" s="588">
        <v>464</v>
      </c>
      <c r="B306">
        <v>0</v>
      </c>
      <c r="C306" s="423">
        <v>0</v>
      </c>
    </row>
    <row r="307" spans="1:3">
      <c r="A307" s="588">
        <v>465</v>
      </c>
      <c r="B307">
        <v>0</v>
      </c>
      <c r="C307" s="423">
        <v>0</v>
      </c>
    </row>
    <row r="308" spans="1:3">
      <c r="A308" s="588">
        <v>466</v>
      </c>
      <c r="B308">
        <v>0</v>
      </c>
      <c r="C308" s="423">
        <v>0</v>
      </c>
    </row>
    <row r="309" spans="1:3">
      <c r="A309" s="588">
        <v>467</v>
      </c>
      <c r="B309">
        <v>0</v>
      </c>
      <c r="C309" s="423">
        <v>0</v>
      </c>
    </row>
    <row r="310" spans="1:3">
      <c r="A310" s="588">
        <v>468</v>
      </c>
      <c r="B310" t="s">
        <v>114</v>
      </c>
      <c r="C310" s="423">
        <v>1</v>
      </c>
    </row>
    <row r="311" spans="1:3">
      <c r="A311" s="588">
        <v>469</v>
      </c>
      <c r="B311">
        <v>0</v>
      </c>
      <c r="C311" s="423">
        <v>0</v>
      </c>
    </row>
    <row r="312" spans="1:3">
      <c r="A312" s="588">
        <v>470</v>
      </c>
      <c r="B312">
        <v>0</v>
      </c>
      <c r="C312" s="423">
        <v>0</v>
      </c>
    </row>
    <row r="313" spans="1:3">
      <c r="A313" s="588">
        <v>471</v>
      </c>
      <c r="B313" s="575">
        <v>0</v>
      </c>
      <c r="C313" s="423">
        <v>0</v>
      </c>
    </row>
    <row r="314" spans="1:3">
      <c r="A314" s="588">
        <v>473</v>
      </c>
      <c r="B314">
        <v>0</v>
      </c>
      <c r="C314" s="423">
        <v>0</v>
      </c>
    </row>
    <row r="315" spans="1:3">
      <c r="A315" s="588">
        <v>474</v>
      </c>
      <c r="B315">
        <v>0</v>
      </c>
      <c r="C315" s="423">
        <v>0</v>
      </c>
    </row>
    <row r="316" spans="1:3">
      <c r="A316" s="588">
        <v>475</v>
      </c>
      <c r="B316">
        <v>0</v>
      </c>
      <c r="C316" s="423">
        <v>0</v>
      </c>
    </row>
    <row r="317" spans="1:3">
      <c r="A317" s="588">
        <v>476</v>
      </c>
      <c r="B317">
        <v>0</v>
      </c>
      <c r="C317" s="423">
        <v>0</v>
      </c>
    </row>
    <row r="318" spans="1:3">
      <c r="A318" s="588">
        <v>477</v>
      </c>
      <c r="B318">
        <v>0</v>
      </c>
      <c r="C318" s="423">
        <v>0</v>
      </c>
    </row>
    <row r="319" spans="1:3">
      <c r="A319" s="588">
        <v>479</v>
      </c>
      <c r="B319">
        <v>0</v>
      </c>
      <c r="C319" s="423">
        <v>0</v>
      </c>
    </row>
    <row r="320" spans="1:3">
      <c r="A320" s="588">
        <v>480</v>
      </c>
      <c r="B320">
        <v>0</v>
      </c>
      <c r="C320" s="423">
        <v>0</v>
      </c>
    </row>
    <row r="321" spans="1:3">
      <c r="A321" s="588">
        <v>481</v>
      </c>
      <c r="B321">
        <v>0</v>
      </c>
      <c r="C321" s="423">
        <v>0</v>
      </c>
    </row>
    <row r="322" spans="1:3">
      <c r="A322" s="588">
        <v>482</v>
      </c>
      <c r="B322">
        <v>0</v>
      </c>
      <c r="C322" s="423">
        <v>0</v>
      </c>
    </row>
    <row r="323" spans="1:3">
      <c r="A323" s="588">
        <v>483</v>
      </c>
      <c r="B323">
        <v>0</v>
      </c>
      <c r="C323" s="423">
        <v>0</v>
      </c>
    </row>
    <row r="324" spans="1:3">
      <c r="A324" s="588">
        <v>484</v>
      </c>
      <c r="B324">
        <v>0</v>
      </c>
      <c r="C324" s="423">
        <v>0</v>
      </c>
    </row>
    <row r="325" spans="1:3">
      <c r="A325" s="588">
        <v>487</v>
      </c>
      <c r="B325">
        <v>0</v>
      </c>
      <c r="C325" s="423">
        <v>0</v>
      </c>
    </row>
    <row r="326" spans="1:3">
      <c r="A326" s="588">
        <v>489</v>
      </c>
      <c r="B326">
        <v>0</v>
      </c>
      <c r="C326" s="423">
        <v>0</v>
      </c>
    </row>
    <row r="327" spans="1:3">
      <c r="A327" s="588">
        <v>490</v>
      </c>
      <c r="B327">
        <v>0</v>
      </c>
      <c r="C327" s="423">
        <v>0</v>
      </c>
    </row>
    <row r="328" spans="1:3">
      <c r="A328" s="588">
        <v>491</v>
      </c>
      <c r="B328">
        <v>0</v>
      </c>
      <c r="C328" s="423">
        <v>0</v>
      </c>
    </row>
    <row r="329" spans="1:3">
      <c r="A329" s="588">
        <v>492</v>
      </c>
      <c r="B329">
        <v>0</v>
      </c>
      <c r="C329" s="423">
        <v>0</v>
      </c>
    </row>
    <row r="330" spans="1:3">
      <c r="A330" s="588">
        <v>493</v>
      </c>
      <c r="B330">
        <v>0</v>
      </c>
      <c r="C330" s="423">
        <v>0</v>
      </c>
    </row>
    <row r="331" spans="1:3">
      <c r="A331" s="588">
        <v>494</v>
      </c>
      <c r="B331">
        <v>0</v>
      </c>
      <c r="C331" s="423">
        <v>0</v>
      </c>
    </row>
    <row r="332" spans="1:3">
      <c r="A332" s="588">
        <v>495</v>
      </c>
      <c r="B332">
        <v>0</v>
      </c>
      <c r="C332" s="423">
        <v>0</v>
      </c>
    </row>
    <row r="333" spans="1:3">
      <c r="A333" s="588">
        <v>496</v>
      </c>
      <c r="B333" t="s">
        <v>114</v>
      </c>
      <c r="C333" s="423">
        <v>1</v>
      </c>
    </row>
    <row r="334" spans="1:3">
      <c r="A334" s="588">
        <v>497</v>
      </c>
      <c r="B334" t="s">
        <v>114</v>
      </c>
      <c r="C334" s="423">
        <v>1</v>
      </c>
    </row>
    <row r="335" spans="1:3">
      <c r="A335" s="588">
        <v>498</v>
      </c>
      <c r="B335">
        <v>0</v>
      </c>
      <c r="C335" s="423">
        <v>0</v>
      </c>
    </row>
    <row r="336" spans="1:3">
      <c r="A336" s="588">
        <v>499</v>
      </c>
      <c r="B336">
        <v>0</v>
      </c>
      <c r="C336" s="423">
        <v>0</v>
      </c>
    </row>
    <row r="337" spans="1:3">
      <c r="A337" s="588">
        <v>500</v>
      </c>
      <c r="B337">
        <v>0</v>
      </c>
      <c r="C337" s="423">
        <v>0</v>
      </c>
    </row>
    <row r="338" spans="1:3">
      <c r="A338" s="588">
        <v>501</v>
      </c>
      <c r="B338">
        <v>0</v>
      </c>
      <c r="C338" s="423">
        <v>0</v>
      </c>
    </row>
    <row r="339" spans="1:3">
      <c r="A339" s="588">
        <v>502</v>
      </c>
      <c r="B339">
        <v>0</v>
      </c>
      <c r="C339" s="423">
        <v>0</v>
      </c>
    </row>
    <row r="340" spans="1:3">
      <c r="A340" s="588">
        <v>503</v>
      </c>
      <c r="B340">
        <v>0</v>
      </c>
      <c r="C340" s="423">
        <v>0</v>
      </c>
    </row>
    <row r="341" spans="1:3">
      <c r="A341" s="588">
        <v>504</v>
      </c>
      <c r="B341">
        <v>0</v>
      </c>
      <c r="C341" s="423">
        <v>0</v>
      </c>
    </row>
    <row r="342" spans="1:3">
      <c r="A342" s="588">
        <v>505</v>
      </c>
      <c r="B342">
        <v>0</v>
      </c>
      <c r="C342" s="423">
        <v>0</v>
      </c>
    </row>
    <row r="343" spans="1:3">
      <c r="A343" s="588">
        <v>506</v>
      </c>
      <c r="B343">
        <v>0</v>
      </c>
      <c r="C343" s="423">
        <v>0</v>
      </c>
    </row>
    <row r="344" spans="1:3">
      <c r="A344" s="588">
        <v>507</v>
      </c>
      <c r="B344">
        <v>0</v>
      </c>
      <c r="C344" s="423">
        <v>0</v>
      </c>
    </row>
    <row r="345" spans="1:3">
      <c r="A345" s="588">
        <v>508</v>
      </c>
      <c r="B345">
        <v>0</v>
      </c>
      <c r="C345" s="423">
        <v>0</v>
      </c>
    </row>
    <row r="346" spans="1:3">
      <c r="A346" s="588">
        <v>509</v>
      </c>
      <c r="B346">
        <v>0</v>
      </c>
      <c r="C346" s="423">
        <v>0</v>
      </c>
    </row>
    <row r="347" spans="1:3">
      <c r="A347" s="588">
        <v>511</v>
      </c>
      <c r="B347">
        <v>0</v>
      </c>
      <c r="C347" s="423">
        <v>0</v>
      </c>
    </row>
    <row r="348" spans="1:3">
      <c r="A348" s="588">
        <v>512</v>
      </c>
      <c r="B348" t="s">
        <v>114</v>
      </c>
      <c r="C348" s="423">
        <v>1</v>
      </c>
    </row>
    <row r="349" spans="1:3">
      <c r="A349" s="588">
        <v>509</v>
      </c>
      <c r="B349">
        <v>0</v>
      </c>
      <c r="C349" s="423">
        <v>0</v>
      </c>
    </row>
    <row r="350" spans="1:3">
      <c r="A350" s="588">
        <v>511</v>
      </c>
      <c r="B350">
        <v>0</v>
      </c>
      <c r="C350" s="423">
        <v>0</v>
      </c>
    </row>
    <row r="351" spans="1:3">
      <c r="A351" s="588">
        <v>512</v>
      </c>
      <c r="B351" t="s">
        <v>114</v>
      </c>
      <c r="C351" s="423">
        <v>1</v>
      </c>
    </row>
  </sheetData>
  <sheetProtection password="CC61" sheet="1" objects="1" scenarios="1"/>
  <mergeCells count="1">
    <mergeCell ref="A60:C60"/>
  </mergeCells>
  <dataValidations xWindow="610" yWindow="275" count="2">
    <dataValidation type="decimal" allowBlank="1" showInputMessage="1" showErrorMessage="1" errorTitle="Invalid Data Entry" error="Valid values are between 0.00 and 1.00.  Press enter and re-enter a valid value OR press the delete key and then &lt;enter&gt; to leave blank." sqref="J13">
      <formula1>0</formula1>
      <formula2>1</formula2>
    </dataValidation>
    <dataValidation allowBlank="1" showInputMessage="1" showErrorMessage="1" promptTitle="Expected Data Entry" prompt="Enter school year it expires (Ex: 2011-2012 or use 9999-9999 for perpetual).  Leave blank if n/a." sqref="H13"/>
  </dataValidations>
  <hyperlinks>
    <hyperlink ref="L1" location="Contents!A1" display="Return to Contents page"/>
  </hyperlinks>
  <pageMargins left="0.75" right="0.25" top="0.5" bottom="0.75" header="0.5" footer="0.5"/>
  <pageSetup scale="87" orientation="portrait" blackAndWhite="1"/>
  <headerFooter>
    <oddFooter>&amp;L&amp;D     &amp;T&amp;CForm 155&amp;RPage &amp;P</oddFooter>
  </headerFooter>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49"/>
  <sheetViews>
    <sheetView topLeftCell="A31" zoomScale="125" workbookViewId="0">
      <selection activeCell="C14" sqref="C14"/>
    </sheetView>
  </sheetViews>
  <sheetFormatPr defaultColWidth="10.7109375" defaultRowHeight="15"/>
  <cols>
    <col min="1" max="1" width="17.42578125" style="172" customWidth="1"/>
    <col min="2" max="2" width="4.28515625" style="275" customWidth="1"/>
    <col min="3" max="3" width="14.140625" style="172" customWidth="1"/>
    <col min="4" max="4" width="6.42578125" style="172" customWidth="1"/>
    <col min="5" max="5" width="14.140625" style="172" customWidth="1"/>
    <col min="6" max="6" width="7" style="172" customWidth="1"/>
    <col min="7" max="7" width="13.85546875" style="172" customWidth="1"/>
    <col min="8" max="8" width="8.42578125" style="172" customWidth="1"/>
    <col min="9" max="9" width="13" style="172" customWidth="1"/>
    <col min="10" max="10" width="18.7109375" style="172" customWidth="1"/>
    <col min="11" max="11" width="3" style="172" customWidth="1"/>
    <col min="12" max="12" width="20.85546875" style="172" customWidth="1"/>
    <col min="13" max="16384" width="10.7109375" style="172"/>
  </cols>
  <sheetData>
    <row r="1" spans="1:12" ht="12" customHeight="1">
      <c r="A1" s="165" t="s">
        <v>115</v>
      </c>
      <c r="B1" s="166"/>
      <c r="C1" s="167"/>
      <c r="D1" s="168" t="s">
        <v>116</v>
      </c>
      <c r="E1" s="168"/>
      <c r="F1" s="169"/>
      <c r="G1" s="169"/>
      <c r="H1" s="169"/>
      <c r="I1" s="170" t="s">
        <v>117</v>
      </c>
      <c r="J1" s="171">
        <f>[2]OPEN!$B$4</f>
        <v>395</v>
      </c>
      <c r="L1" s="480" t="s">
        <v>268</v>
      </c>
    </row>
    <row r="2" spans="1:12" ht="12" customHeight="1">
      <c r="A2" s="173" t="s">
        <v>118</v>
      </c>
      <c r="B2" s="174"/>
      <c r="C2" s="175"/>
      <c r="D2" s="176" t="s">
        <v>119</v>
      </c>
      <c r="E2" s="176"/>
      <c r="F2" s="176"/>
      <c r="G2" s="176"/>
      <c r="H2" s="176"/>
      <c r="I2" s="175"/>
      <c r="J2" s="177"/>
    </row>
    <row r="3" spans="1:12" ht="12" customHeight="1">
      <c r="A3" s="431">
        <f>[2]OPEN!$N$3</f>
        <v>40664</v>
      </c>
      <c r="B3" s="174"/>
      <c r="C3" s="174"/>
      <c r="D3" s="168" t="s">
        <v>120</v>
      </c>
      <c r="E3" s="175"/>
      <c r="F3" s="175"/>
      <c r="G3" s="169"/>
      <c r="H3" s="169"/>
      <c r="I3" s="177"/>
      <c r="J3" s="177"/>
    </row>
    <row r="4" spans="1:12">
      <c r="A4" s="178" t="str">
        <f>[2]OPEN!$N$2</f>
        <v>2011-2012</v>
      </c>
      <c r="B4" s="179"/>
      <c r="C4" s="178"/>
      <c r="D4" s="178"/>
      <c r="E4" s="178"/>
      <c r="F4" s="178"/>
      <c r="G4" s="178"/>
      <c r="H4" s="178"/>
      <c r="I4" s="178"/>
      <c r="J4" s="178"/>
    </row>
    <row r="5" spans="1:12" ht="12" customHeight="1">
      <c r="A5" s="176" t="s">
        <v>122</v>
      </c>
      <c r="B5" s="179"/>
      <c r="C5" s="178"/>
      <c r="D5" s="178"/>
      <c r="E5" s="178"/>
      <c r="F5" s="178"/>
      <c r="G5" s="178"/>
      <c r="H5" s="178"/>
      <c r="I5" s="178"/>
      <c r="J5" s="178"/>
    </row>
    <row r="6" spans="1:12" ht="3" customHeight="1">
      <c r="A6" s="165"/>
      <c r="B6" s="166"/>
      <c r="C6" s="180"/>
      <c r="D6" s="181"/>
      <c r="E6" s="182"/>
      <c r="F6" s="181"/>
      <c r="G6" s="182"/>
      <c r="H6" s="181"/>
      <c r="I6" s="182"/>
      <c r="J6" s="180"/>
    </row>
    <row r="7" spans="1:12" ht="12" customHeight="1">
      <c r="A7" s="165"/>
      <c r="B7" s="166"/>
      <c r="C7" s="183" t="s">
        <v>293</v>
      </c>
      <c r="D7" s="184"/>
      <c r="E7" s="185"/>
      <c r="F7" s="184"/>
      <c r="G7" s="185"/>
      <c r="H7" s="186" t="s">
        <v>123</v>
      </c>
      <c r="I7" s="187"/>
      <c r="J7" s="188" t="s">
        <v>293</v>
      </c>
    </row>
    <row r="8" spans="1:12">
      <c r="A8" s="165"/>
      <c r="B8" s="166"/>
      <c r="C8" s="183" t="s">
        <v>124</v>
      </c>
      <c r="D8" s="186" t="s">
        <v>125</v>
      </c>
      <c r="E8" s="187"/>
      <c r="F8" s="186" t="s">
        <v>126</v>
      </c>
      <c r="G8" s="187"/>
      <c r="H8" s="186" t="s">
        <v>127</v>
      </c>
      <c r="I8" s="187"/>
      <c r="J8" s="188" t="str">
        <f>"7-1-"&amp;[2]OPEN!$Q$5&amp;" to 6-30-"&amp;[2]OPEN!$S$5</f>
        <v>7-1-2011 to 6-30-2012</v>
      </c>
    </row>
    <row r="9" spans="1:12" ht="15.75" thickBot="1">
      <c r="A9" s="189"/>
      <c r="B9" s="190"/>
      <c r="C9" s="191" t="s">
        <v>128</v>
      </c>
      <c r="D9" s="192" t="s">
        <v>129</v>
      </c>
      <c r="E9" s="193" t="s">
        <v>130</v>
      </c>
      <c r="F9" s="192" t="s">
        <v>129</v>
      </c>
      <c r="G9" s="193" t="s">
        <v>130</v>
      </c>
      <c r="H9" s="192" t="s">
        <v>131</v>
      </c>
      <c r="I9" s="194" t="s">
        <v>132</v>
      </c>
      <c r="J9" s="195"/>
    </row>
    <row r="10" spans="1:12" ht="3" customHeight="1" thickTop="1">
      <c r="A10" s="196"/>
      <c r="B10" s="197"/>
      <c r="C10" s="198"/>
      <c r="D10" s="199"/>
      <c r="E10" s="198"/>
      <c r="F10" s="199"/>
      <c r="G10" s="200"/>
      <c r="H10" s="201"/>
      <c r="I10" s="198"/>
      <c r="J10" s="202"/>
    </row>
    <row r="11" spans="1:12">
      <c r="A11" s="203" t="s">
        <v>133</v>
      </c>
      <c r="B11" s="166"/>
      <c r="C11" s="184"/>
      <c r="D11" s="204"/>
      <c r="E11" s="185"/>
      <c r="F11" s="205"/>
      <c r="G11" s="184"/>
      <c r="H11" s="206"/>
      <c r="I11" s="207"/>
      <c r="J11" s="208"/>
    </row>
    <row r="12" spans="1:12">
      <c r="A12" s="165" t="s">
        <v>137</v>
      </c>
      <c r="B12" s="166">
        <v>1</v>
      </c>
      <c r="C12" s="209">
        <v>10088</v>
      </c>
      <c r="D12" s="436">
        <v>0.48749999999999999</v>
      </c>
      <c r="E12" s="210">
        <f>C12*D12</f>
        <v>4918</v>
      </c>
      <c r="F12" s="437">
        <v>3.5000000000000003E-2</v>
      </c>
      <c r="G12" s="211">
        <f>SUM(C12*F12)</f>
        <v>353</v>
      </c>
      <c r="H12" s="212">
        <v>2</v>
      </c>
      <c r="I12" s="211">
        <f>C12*H12</f>
        <v>20176</v>
      </c>
      <c r="J12" s="211">
        <f t="shared" ref="J12:J18" si="0">SUM(E12+G12+I12)</f>
        <v>25447</v>
      </c>
    </row>
    <row r="13" spans="1:12">
      <c r="A13" s="165" t="s">
        <v>270</v>
      </c>
      <c r="B13" s="166">
        <v>2</v>
      </c>
      <c r="C13" s="213"/>
      <c r="D13" s="436">
        <v>0.48749999999999999</v>
      </c>
      <c r="E13" s="210">
        <f>C13*D13</f>
        <v>0</v>
      </c>
      <c r="F13" s="437">
        <v>3.5000000000000003E-2</v>
      </c>
      <c r="G13" s="211">
        <f>SUM(C13*F13)</f>
        <v>0</v>
      </c>
      <c r="H13" s="214">
        <v>2.2999999999999998</v>
      </c>
      <c r="I13" s="211">
        <f>C13*H13</f>
        <v>0</v>
      </c>
      <c r="J13" s="211">
        <f t="shared" si="0"/>
        <v>0</v>
      </c>
    </row>
    <row r="14" spans="1:12">
      <c r="A14" s="165" t="s">
        <v>271</v>
      </c>
      <c r="B14" s="166">
        <v>3</v>
      </c>
      <c r="C14" s="213">
        <v>9342</v>
      </c>
      <c r="D14" s="436">
        <v>0.48749999999999999</v>
      </c>
      <c r="E14" s="210">
        <f>C14*D14</f>
        <v>4554</v>
      </c>
      <c r="F14" s="437">
        <v>3.5000000000000003E-2</v>
      </c>
      <c r="G14" s="211">
        <f>SUM(C14*F14)</f>
        <v>327</v>
      </c>
      <c r="H14" s="215">
        <v>2.2999999999999998</v>
      </c>
      <c r="I14" s="216">
        <f>C14*H14</f>
        <v>21487</v>
      </c>
      <c r="J14" s="211">
        <f t="shared" si="0"/>
        <v>26368</v>
      </c>
    </row>
    <row r="15" spans="1:12">
      <c r="A15" s="165" t="s">
        <v>134</v>
      </c>
      <c r="B15" s="166">
        <v>4</v>
      </c>
      <c r="C15" s="213">
        <v>16172</v>
      </c>
      <c r="D15" s="436">
        <v>2.9474999999999998</v>
      </c>
      <c r="E15" s="210">
        <f>C15*D15</f>
        <v>47667</v>
      </c>
      <c r="F15" s="437">
        <v>3.5000000000000003E-2</v>
      </c>
      <c r="G15" s="217">
        <f>SUM(C15*F15)</f>
        <v>566</v>
      </c>
      <c r="H15" s="218"/>
      <c r="I15" s="219"/>
      <c r="J15" s="210">
        <f t="shared" si="0"/>
        <v>48233</v>
      </c>
    </row>
    <row r="16" spans="1:12">
      <c r="A16" s="165" t="s">
        <v>135</v>
      </c>
      <c r="B16" s="166">
        <v>5</v>
      </c>
      <c r="C16" s="213">
        <v>5979</v>
      </c>
      <c r="D16" s="436">
        <v>2.5474999999999999</v>
      </c>
      <c r="E16" s="220">
        <f>C16*D16</f>
        <v>15232</v>
      </c>
      <c r="F16" s="437">
        <v>3.5000000000000003E-2</v>
      </c>
      <c r="G16" s="221">
        <f>SUM(C16*F16)</f>
        <v>209</v>
      </c>
      <c r="H16" s="438">
        <v>0.4</v>
      </c>
      <c r="I16" s="210">
        <f>C16*H16</f>
        <v>2392</v>
      </c>
      <c r="J16" s="210">
        <f t="shared" si="0"/>
        <v>17833</v>
      </c>
    </row>
    <row r="17" spans="1:10">
      <c r="A17" s="165" t="s">
        <v>179</v>
      </c>
      <c r="B17" s="166">
        <v>6</v>
      </c>
      <c r="C17" s="213">
        <v>803</v>
      </c>
      <c r="D17" s="222"/>
      <c r="E17" s="219"/>
      <c r="F17" s="223"/>
      <c r="G17" s="224"/>
      <c r="H17" s="212">
        <v>3.4</v>
      </c>
      <c r="I17" s="210">
        <f>C17*H17</f>
        <v>2730</v>
      </c>
      <c r="J17" s="211">
        <f t="shared" si="0"/>
        <v>2730</v>
      </c>
    </row>
    <row r="18" spans="1:10">
      <c r="A18" s="170" t="s">
        <v>293</v>
      </c>
      <c r="B18" s="225">
        <v>7</v>
      </c>
      <c r="C18" s="226">
        <f>SUM(C12:C17)</f>
        <v>42384</v>
      </c>
      <c r="D18" s="222"/>
      <c r="E18" s="210">
        <f>SUM(E12:E16)</f>
        <v>72371</v>
      </c>
      <c r="F18" s="227"/>
      <c r="G18" s="211">
        <f>SUM(G12:G16)</f>
        <v>1455</v>
      </c>
      <c r="H18" s="228"/>
      <c r="I18" s="229">
        <f>SUM(I12:I17)</f>
        <v>46785</v>
      </c>
      <c r="J18" s="216">
        <f t="shared" si="0"/>
        <v>120611</v>
      </c>
    </row>
    <row r="19" spans="1:10" ht="3.75" customHeight="1">
      <c r="A19" s="165"/>
      <c r="B19" s="166"/>
      <c r="C19" s="230"/>
      <c r="D19" s="231"/>
      <c r="E19" s="232"/>
      <c r="F19" s="223"/>
      <c r="G19" s="233"/>
      <c r="H19" s="234"/>
      <c r="I19" s="235"/>
      <c r="J19" s="236"/>
    </row>
    <row r="20" spans="1:10">
      <c r="A20" s="203" t="s">
        <v>136</v>
      </c>
      <c r="B20" s="166"/>
      <c r="C20" s="237"/>
      <c r="D20" s="231"/>
      <c r="E20" s="232"/>
      <c r="F20" s="223"/>
      <c r="G20" s="238"/>
      <c r="H20" s="234"/>
      <c r="I20" s="239"/>
      <c r="J20" s="240"/>
    </row>
    <row r="21" spans="1:10">
      <c r="A21" s="165" t="s">
        <v>137</v>
      </c>
      <c r="B21" s="166">
        <v>8</v>
      </c>
      <c r="C21" s="209">
        <v>15</v>
      </c>
      <c r="D21" s="436">
        <v>0.26</v>
      </c>
      <c r="E21" s="210">
        <f>C21*D21</f>
        <v>4</v>
      </c>
      <c r="F21" s="223"/>
      <c r="G21" s="238"/>
      <c r="H21" s="241">
        <v>1.5</v>
      </c>
      <c r="I21" s="217">
        <f>C21*H21</f>
        <v>23</v>
      </c>
      <c r="J21" s="211">
        <f t="shared" ref="J21:J26" si="1">SUM(E21+G21+I21)</f>
        <v>27</v>
      </c>
    </row>
    <row r="22" spans="1:10">
      <c r="A22" s="165" t="s">
        <v>138</v>
      </c>
      <c r="B22" s="166">
        <v>9</v>
      </c>
      <c r="C22" s="209"/>
      <c r="D22" s="436">
        <v>0.26</v>
      </c>
      <c r="E22" s="210">
        <f>C22*D22</f>
        <v>0</v>
      </c>
      <c r="F22" s="223"/>
      <c r="G22" s="238"/>
      <c r="H22" s="212">
        <v>1.5</v>
      </c>
      <c r="I22" s="211">
        <f>C22*H22</f>
        <v>0</v>
      </c>
      <c r="J22" s="211">
        <f t="shared" si="1"/>
        <v>0</v>
      </c>
    </row>
    <row r="23" spans="1:10">
      <c r="A23" s="165" t="s">
        <v>139</v>
      </c>
      <c r="B23" s="166">
        <v>10</v>
      </c>
      <c r="C23" s="213">
        <v>20</v>
      </c>
      <c r="D23" s="436">
        <v>0.26</v>
      </c>
      <c r="E23" s="242">
        <f>C23*D23</f>
        <v>5</v>
      </c>
      <c r="F23" s="223"/>
      <c r="G23" s="238"/>
      <c r="H23" s="215">
        <v>1.5</v>
      </c>
      <c r="I23" s="243">
        <f>C23*H23</f>
        <v>30</v>
      </c>
      <c r="J23" s="211">
        <f t="shared" si="1"/>
        <v>35</v>
      </c>
    </row>
    <row r="24" spans="1:10">
      <c r="A24" s="165" t="s">
        <v>134</v>
      </c>
      <c r="B24" s="166">
        <v>11</v>
      </c>
      <c r="C24" s="213">
        <v>3386</v>
      </c>
      <c r="D24" s="436">
        <v>1.48</v>
      </c>
      <c r="E24" s="242">
        <f>C24*D24</f>
        <v>5011</v>
      </c>
      <c r="F24" s="223"/>
      <c r="G24" s="238"/>
      <c r="H24" s="218"/>
      <c r="I24" s="219"/>
      <c r="J24" s="210">
        <f t="shared" si="1"/>
        <v>5011</v>
      </c>
    </row>
    <row r="25" spans="1:10">
      <c r="A25" s="165" t="s">
        <v>135</v>
      </c>
      <c r="B25" s="166">
        <v>12</v>
      </c>
      <c r="C25" s="213">
        <v>1386</v>
      </c>
      <c r="D25" s="436">
        <v>1.18</v>
      </c>
      <c r="E25" s="242">
        <f>C25*D25</f>
        <v>1635</v>
      </c>
      <c r="F25" s="223"/>
      <c r="G25" s="238"/>
      <c r="H25" s="438">
        <v>0.3</v>
      </c>
      <c r="I25" s="210">
        <f>C25*H25</f>
        <v>416</v>
      </c>
      <c r="J25" s="210">
        <f t="shared" si="1"/>
        <v>2051</v>
      </c>
    </row>
    <row r="26" spans="1:10">
      <c r="A26" s="165" t="s">
        <v>179</v>
      </c>
      <c r="B26" s="166">
        <v>13</v>
      </c>
      <c r="C26" s="213"/>
      <c r="D26" s="244"/>
      <c r="E26" s="245"/>
      <c r="F26" s="223"/>
      <c r="G26" s="238"/>
      <c r="H26" s="212">
        <v>2.15</v>
      </c>
      <c r="I26" s="210">
        <f>C26*H26</f>
        <v>0</v>
      </c>
      <c r="J26" s="211">
        <f t="shared" si="1"/>
        <v>0</v>
      </c>
    </row>
    <row r="27" spans="1:10">
      <c r="A27" s="170" t="s">
        <v>293</v>
      </c>
      <c r="B27" s="246">
        <v>14</v>
      </c>
      <c r="C27" s="226">
        <f>SUM(C21:C26)</f>
        <v>4807</v>
      </c>
      <c r="D27" s="244"/>
      <c r="E27" s="229">
        <f>SUM(E21:E25)</f>
        <v>6655</v>
      </c>
      <c r="F27" s="223"/>
      <c r="G27" s="238"/>
      <c r="H27" s="247"/>
      <c r="I27" s="229">
        <f>SUM(I21:I26)</f>
        <v>469</v>
      </c>
      <c r="J27" s="216">
        <f>SUM(J21:J26)</f>
        <v>7124</v>
      </c>
    </row>
    <row r="28" spans="1:10" ht="3" customHeight="1">
      <c r="A28" s="170"/>
      <c r="B28" s="246"/>
      <c r="C28" s="230"/>
      <c r="D28" s="244"/>
      <c r="E28" s="248"/>
      <c r="F28" s="223"/>
      <c r="G28" s="238"/>
      <c r="H28" s="234"/>
      <c r="I28" s="235"/>
      <c r="J28" s="236"/>
    </row>
    <row r="29" spans="1:10">
      <c r="A29" s="203" t="s">
        <v>140</v>
      </c>
      <c r="B29" s="166"/>
      <c r="C29" s="237"/>
      <c r="D29" s="231"/>
      <c r="E29" s="232"/>
      <c r="F29" s="223"/>
      <c r="G29" s="238"/>
      <c r="H29" s="234"/>
      <c r="I29" s="239"/>
      <c r="J29" s="240"/>
    </row>
    <row r="30" spans="1:10">
      <c r="A30" s="165" t="s">
        <v>137</v>
      </c>
      <c r="B30" s="166">
        <v>15</v>
      </c>
      <c r="C30" s="209"/>
      <c r="D30" s="436">
        <v>0.06</v>
      </c>
      <c r="E30" s="210">
        <f>C30*D30</f>
        <v>0</v>
      </c>
      <c r="F30" s="223"/>
      <c r="G30" s="238"/>
      <c r="H30" s="241"/>
      <c r="I30" s="217">
        <f>C30*H30</f>
        <v>0</v>
      </c>
      <c r="J30" s="211">
        <f t="shared" ref="J30:J35" si="2">SUM(E30+G30+I30)</f>
        <v>0</v>
      </c>
    </row>
    <row r="31" spans="1:10">
      <c r="A31" s="165" t="s">
        <v>138</v>
      </c>
      <c r="B31" s="166">
        <v>16</v>
      </c>
      <c r="C31" s="209"/>
      <c r="D31" s="436">
        <v>0.06</v>
      </c>
      <c r="E31" s="210">
        <f>C31*D31</f>
        <v>0</v>
      </c>
      <c r="F31" s="223"/>
      <c r="G31" s="238"/>
      <c r="H31" s="212"/>
      <c r="I31" s="211">
        <f>C31*H31</f>
        <v>0</v>
      </c>
      <c r="J31" s="211">
        <f t="shared" si="2"/>
        <v>0</v>
      </c>
    </row>
    <row r="32" spans="1:10">
      <c r="A32" s="165" t="s">
        <v>139</v>
      </c>
      <c r="B32" s="166">
        <v>17</v>
      </c>
      <c r="C32" s="213"/>
      <c r="D32" s="436">
        <v>0.06</v>
      </c>
      <c r="E32" s="242">
        <f>C32*D32</f>
        <v>0</v>
      </c>
      <c r="F32" s="223"/>
      <c r="G32" s="238"/>
      <c r="H32" s="215"/>
      <c r="I32" s="243">
        <f>C32*H32</f>
        <v>0</v>
      </c>
      <c r="J32" s="211">
        <f t="shared" si="2"/>
        <v>0</v>
      </c>
    </row>
    <row r="33" spans="1:10">
      <c r="A33" s="165" t="s">
        <v>134</v>
      </c>
      <c r="B33" s="166">
        <v>18</v>
      </c>
      <c r="C33" s="213"/>
      <c r="D33" s="436">
        <v>0.74</v>
      </c>
      <c r="E33" s="242">
        <f>C33*D33</f>
        <v>0</v>
      </c>
      <c r="F33" s="223"/>
      <c r="G33" s="238"/>
      <c r="H33" s="218"/>
      <c r="I33" s="219"/>
      <c r="J33" s="210">
        <f t="shared" si="2"/>
        <v>0</v>
      </c>
    </row>
    <row r="34" spans="1:10">
      <c r="A34" s="165" t="s">
        <v>135</v>
      </c>
      <c r="B34" s="166">
        <v>19</v>
      </c>
      <c r="C34" s="213"/>
      <c r="D34" s="436">
        <v>0.37</v>
      </c>
      <c r="E34" s="242">
        <f>C34*D34</f>
        <v>0</v>
      </c>
      <c r="F34" s="223"/>
      <c r="G34" s="238"/>
      <c r="H34" s="438">
        <v>0.15</v>
      </c>
      <c r="I34" s="210">
        <f>C34*H34</f>
        <v>0</v>
      </c>
      <c r="J34" s="210">
        <f t="shared" si="2"/>
        <v>0</v>
      </c>
    </row>
    <row r="35" spans="1:10">
      <c r="A35" s="165" t="s">
        <v>179</v>
      </c>
      <c r="B35" s="166">
        <v>20</v>
      </c>
      <c r="C35" s="213"/>
      <c r="D35" s="244"/>
      <c r="E35" s="245"/>
      <c r="F35" s="223"/>
      <c r="G35" s="238"/>
      <c r="H35" s="212"/>
      <c r="I35" s="210">
        <f>C35*H35</f>
        <v>0</v>
      </c>
      <c r="J35" s="211">
        <f t="shared" si="2"/>
        <v>0</v>
      </c>
    </row>
    <row r="36" spans="1:10">
      <c r="A36" s="170" t="s">
        <v>293</v>
      </c>
      <c r="B36" s="246">
        <v>21</v>
      </c>
      <c r="C36" s="226">
        <f>SUM(C30:C35)</f>
        <v>0</v>
      </c>
      <c r="D36" s="244"/>
      <c r="E36" s="229">
        <f>SUM(E30:E34)</f>
        <v>0</v>
      </c>
      <c r="F36" s="223"/>
      <c r="G36" s="238"/>
      <c r="H36" s="247"/>
      <c r="I36" s="229">
        <f>SUM(I30:I35)</f>
        <v>0</v>
      </c>
      <c r="J36" s="216">
        <f>SUM(J30:J35)</f>
        <v>0</v>
      </c>
    </row>
    <row r="37" spans="1:10" ht="3" customHeight="1">
      <c r="A37" s="165"/>
      <c r="B37" s="166"/>
      <c r="C37" s="230"/>
      <c r="D37" s="249"/>
      <c r="E37" s="248"/>
      <c r="F37" s="223"/>
      <c r="G37" s="238"/>
      <c r="H37" s="247"/>
      <c r="I37" s="250"/>
      <c r="J37" s="236"/>
    </row>
    <row r="38" spans="1:10">
      <c r="A38" s="203" t="s">
        <v>141</v>
      </c>
      <c r="B38" s="166"/>
      <c r="C38" s="237"/>
      <c r="D38" s="249"/>
      <c r="E38" s="232"/>
      <c r="F38" s="223"/>
      <c r="G38" s="238"/>
      <c r="H38" s="247"/>
      <c r="I38" s="251"/>
      <c r="J38" s="240"/>
    </row>
    <row r="39" spans="1:10">
      <c r="A39" s="203" t="s">
        <v>142</v>
      </c>
      <c r="B39" s="166"/>
      <c r="C39" s="237"/>
      <c r="D39" s="249"/>
      <c r="E39" s="232"/>
      <c r="F39" s="223"/>
      <c r="G39" s="238"/>
      <c r="H39" s="247"/>
      <c r="I39" s="251"/>
      <c r="J39" s="240"/>
    </row>
    <row r="40" spans="1:10">
      <c r="A40" s="165" t="s">
        <v>143</v>
      </c>
      <c r="B40" s="166">
        <v>22</v>
      </c>
      <c r="C40" s="209">
        <v>3066</v>
      </c>
      <c r="D40" s="436">
        <v>0.17749999999999999</v>
      </c>
      <c r="E40" s="210">
        <f>C40*D40</f>
        <v>544</v>
      </c>
      <c r="F40" s="252"/>
      <c r="G40" s="238"/>
      <c r="H40" s="212">
        <v>0.35</v>
      </c>
      <c r="I40" s="253">
        <f>C40*H40</f>
        <v>1073</v>
      </c>
      <c r="J40" s="211">
        <f>SUM(E40+G40+I40)</f>
        <v>1617</v>
      </c>
    </row>
    <row r="41" spans="1:10">
      <c r="A41" s="165" t="s">
        <v>144</v>
      </c>
      <c r="B41" s="166">
        <v>23</v>
      </c>
      <c r="C41" s="209"/>
      <c r="D41" s="254"/>
      <c r="E41" s="210">
        <f>C41*D41</f>
        <v>0</v>
      </c>
      <c r="F41" s="223"/>
      <c r="G41" s="238"/>
      <c r="H41" s="255"/>
      <c r="I41" s="256"/>
      <c r="J41" s="210">
        <f>SUM(E41+G41+I41)</f>
        <v>0</v>
      </c>
    </row>
    <row r="42" spans="1:10">
      <c r="A42" s="170" t="s">
        <v>293</v>
      </c>
      <c r="B42" s="166">
        <v>24</v>
      </c>
      <c r="C42" s="257">
        <f>SUM(C40:C41)</f>
        <v>3066</v>
      </c>
      <c r="D42" s="244"/>
      <c r="E42" s="242">
        <f>SUM(E40:E41)</f>
        <v>544</v>
      </c>
      <c r="F42" s="223"/>
      <c r="G42" s="238"/>
      <c r="H42" s="234"/>
      <c r="I42" s="211">
        <f>I40</f>
        <v>1073</v>
      </c>
      <c r="J42" s="210">
        <f>SUM(J40:J41)</f>
        <v>1617</v>
      </c>
    </row>
    <row r="43" spans="1:10" ht="3.75" customHeight="1">
      <c r="A43" s="165"/>
      <c r="B43" s="166"/>
      <c r="C43" s="258"/>
      <c r="D43" s="223"/>
      <c r="E43" s="256"/>
      <c r="F43" s="223"/>
      <c r="G43" s="238"/>
      <c r="H43" s="247"/>
      <c r="I43" s="232"/>
      <c r="J43" s="236"/>
    </row>
    <row r="44" spans="1:10">
      <c r="A44" s="203" t="s">
        <v>145</v>
      </c>
      <c r="B44" s="166"/>
      <c r="C44" s="259"/>
      <c r="D44" s="223"/>
      <c r="E44" s="260"/>
      <c r="F44" s="223"/>
      <c r="G44" s="238"/>
      <c r="H44" s="247"/>
      <c r="I44" s="232"/>
      <c r="J44" s="240"/>
    </row>
    <row r="45" spans="1:10" ht="15.75" thickBot="1">
      <c r="A45" s="203" t="s">
        <v>146</v>
      </c>
      <c r="B45" s="246">
        <v>25</v>
      </c>
      <c r="C45" s="261" t="s">
        <v>147</v>
      </c>
      <c r="D45" s="223"/>
      <c r="E45" s="262" t="s">
        <v>3</v>
      </c>
      <c r="F45" s="223"/>
      <c r="G45" s="238"/>
      <c r="H45" s="263" t="s">
        <v>4</v>
      </c>
      <c r="I45" s="264"/>
      <c r="J45" s="265">
        <f>I45</f>
        <v>0</v>
      </c>
    </row>
    <row r="46" spans="1:10" ht="3" customHeight="1" thickTop="1">
      <c r="A46" s="196"/>
      <c r="B46" s="197"/>
      <c r="C46" s="266"/>
      <c r="D46" s="267"/>
      <c r="E46" s="268"/>
      <c r="F46" s="269"/>
      <c r="G46" s="268"/>
      <c r="H46" s="269"/>
      <c r="I46" s="268"/>
      <c r="J46" s="236"/>
    </row>
    <row r="47" spans="1:10">
      <c r="A47" s="203" t="s">
        <v>5</v>
      </c>
      <c r="B47" s="166"/>
      <c r="C47" s="270"/>
      <c r="D47" s="271"/>
      <c r="E47" s="233"/>
      <c r="F47" s="272"/>
      <c r="G47" s="233"/>
      <c r="H47" s="272"/>
      <c r="I47" s="233"/>
      <c r="J47" s="240"/>
    </row>
    <row r="48" spans="1:10" ht="15.75" thickBot="1">
      <c r="A48" s="203" t="s">
        <v>6</v>
      </c>
      <c r="B48" s="246">
        <v>26</v>
      </c>
      <c r="C48" s="273" t="s">
        <v>147</v>
      </c>
      <c r="D48" s="271"/>
      <c r="E48" s="274">
        <f>SUM(E18+E27+E36+E42)</f>
        <v>79570</v>
      </c>
      <c r="F48" s="272"/>
      <c r="G48" s="274">
        <f>SUM(G18)</f>
        <v>1455</v>
      </c>
      <c r="H48" s="272"/>
      <c r="I48" s="274">
        <f>SUM(I18+I27+I36+I42+I45)</f>
        <v>48327</v>
      </c>
      <c r="J48" s="211">
        <f>SUM(E48+G48+I48)</f>
        <v>129352</v>
      </c>
    </row>
    <row r="49" spans="1:10" ht="15.75" thickTop="1">
      <c r="A49" s="196"/>
      <c r="B49" s="197"/>
      <c r="C49" s="196"/>
      <c r="D49" s="196"/>
      <c r="E49" s="196"/>
      <c r="F49" s="196"/>
      <c r="G49" s="196"/>
      <c r="H49" s="196"/>
      <c r="I49" s="196"/>
      <c r="J49" s="196"/>
    </row>
  </sheetData>
  <sheetProtection password="CC33" sheet="1" objects="1" scenarios="1"/>
  <phoneticPr fontId="2" type="noConversion"/>
  <dataValidations count="3">
    <dataValidation type="whole" operator="greaterThanOrEqual" showInputMessage="1" showErrorMessage="1" errorTitle="Invalid Data Entry" error="Enter a positive whole number or press the delete key or enter zero." sqref="C12:C17 C21 C22 C23 C24 C25 C26 C30 C31 C32 C33 C34 C35 C40 C41">
      <formula1>0</formula1>
    </dataValidation>
    <dataValidation type="decimal" operator="greaterThanOrEqual" showInputMessage="1" showErrorMessage="1" errorTitle="Invalid Data Entry" error="Enter price or press the delete key or enter a zero." sqref="H12 H13 H14 H17 H21 H22 H23 H26 H30 H31 H32 H35 H40 D41">
      <formula1>0</formula1>
    </dataValidation>
    <dataValidation type="whole" operator="greaterThanOrEqual" showInputMessage="1" showErrorMessage="1" errorTitle="Invalid Data Entry" error="Enter a positive whole number or press the delete key or enter a zero." sqref="I45">
      <formula1>0</formula1>
    </dataValidation>
  </dataValidations>
  <hyperlinks>
    <hyperlink ref="L1" location="Contents!A1" display="Return to Contents page"/>
  </hyperlinks>
  <printOptions horizontalCentered="1" verticalCentered="1"/>
  <pageMargins left="0.25" right="0.25" top="0.25" bottom="0.25" header="0.25" footer="0.25"/>
  <pageSetup scale="90" orientation="landscape" blackAndWhite="1" horizontalDpi="4294967292" verticalDpi="4294967292"/>
  <headerFooter alignWithMargins="0">
    <oddFooter xml:space="preserve">&amp;L&amp;D     &amp;T </oddFooter>
  </headerFooter>
  <rowBreaks count="1" manualBreakCount="1">
    <brk id="49" max="6553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U139"/>
  <sheetViews>
    <sheetView topLeftCell="A45" zoomScale="125" zoomScaleNormal="100" workbookViewId="0">
      <selection activeCell="D17" sqref="D17"/>
    </sheetView>
  </sheetViews>
  <sheetFormatPr defaultColWidth="10.7109375" defaultRowHeight="14.25"/>
  <cols>
    <col min="1" max="1" width="3.7109375" style="292" customWidth="1"/>
    <col min="2" max="2" width="27.140625" style="292" customWidth="1"/>
    <col min="3" max="3" width="0.85546875" style="292" customWidth="1"/>
    <col min="4" max="4" width="17" style="292" customWidth="1"/>
    <col min="5" max="5" width="1.140625" style="292" customWidth="1"/>
    <col min="6" max="6" width="14.140625" style="292" customWidth="1"/>
    <col min="7" max="7" width="3.140625" style="292" customWidth="1"/>
    <col min="8" max="8" width="13.140625" style="292" customWidth="1"/>
    <col min="9" max="9" width="3" style="292" customWidth="1"/>
    <col min="10" max="10" width="15.28515625" style="292" customWidth="1"/>
    <col min="11" max="11" width="3.42578125" style="292" customWidth="1"/>
    <col min="12" max="12" width="16.7109375" style="292" customWidth="1"/>
    <col min="13" max="13" width="3.28515625" style="292" customWidth="1"/>
    <col min="14" max="14" width="15.42578125" style="292" customWidth="1"/>
    <col min="15" max="15" width="3.42578125" style="292" customWidth="1"/>
    <col min="16" max="16" width="14.140625" style="452" customWidth="1"/>
    <col min="17" max="17" width="3.28515625" style="452" customWidth="1"/>
    <col min="18" max="18" width="14.140625" style="452" customWidth="1"/>
    <col min="19" max="19" width="2.42578125" style="277" customWidth="1"/>
    <col min="20" max="20" width="3.28515625" style="277" customWidth="1"/>
    <col min="21" max="21" width="18" style="277" customWidth="1"/>
    <col min="22" max="16384" width="10.7109375" style="277"/>
  </cols>
  <sheetData>
    <row r="1" spans="1:21">
      <c r="A1" s="276" t="s">
        <v>7</v>
      </c>
      <c r="B1" s="276"/>
      <c r="C1" s="276"/>
      <c r="D1" s="276"/>
      <c r="E1" s="276"/>
      <c r="F1" s="276"/>
      <c r="G1" s="276"/>
      <c r="H1" s="276"/>
      <c r="I1" s="276"/>
      <c r="J1" s="276"/>
      <c r="K1" s="276"/>
      <c r="L1" s="276"/>
      <c r="M1" s="276"/>
      <c r="N1" s="276"/>
      <c r="O1" s="276"/>
      <c r="R1" s="480"/>
      <c r="S1" s="292"/>
      <c r="U1" s="480" t="s">
        <v>268</v>
      </c>
    </row>
    <row r="2" spans="1:21">
      <c r="A2" s="276" t="s">
        <v>200</v>
      </c>
      <c r="B2" s="433">
        <f>[2]OPEN!$N$3</f>
        <v>40664</v>
      </c>
      <c r="C2" s="276"/>
      <c r="D2" s="276"/>
      <c r="E2" s="276"/>
      <c r="F2" s="276"/>
      <c r="G2" s="276"/>
      <c r="H2" s="276"/>
      <c r="I2" s="276"/>
      <c r="J2" s="276"/>
      <c r="K2" s="276"/>
      <c r="L2" s="276"/>
      <c r="M2" s="276"/>
      <c r="N2" s="276"/>
      <c r="O2" s="276"/>
      <c r="R2" s="276"/>
      <c r="S2" s="292"/>
    </row>
    <row r="3" spans="1:21">
      <c r="A3" s="278" t="s">
        <v>8</v>
      </c>
      <c r="B3" s="279"/>
      <c r="C3" s="279"/>
      <c r="D3" s="279"/>
      <c r="E3" s="279"/>
      <c r="F3" s="279"/>
      <c r="G3" s="279"/>
      <c r="H3" s="279"/>
      <c r="I3" s="279"/>
      <c r="J3" s="279"/>
      <c r="K3" s="279"/>
      <c r="L3" s="279"/>
      <c r="M3" s="279"/>
      <c r="N3" s="279"/>
      <c r="O3" s="276"/>
      <c r="R3" s="276"/>
      <c r="S3" s="292"/>
    </row>
    <row r="4" spans="1:21">
      <c r="A4" s="276"/>
      <c r="B4" s="276"/>
      <c r="C4" s="276"/>
      <c r="D4" s="276"/>
      <c r="E4" s="276"/>
      <c r="F4" s="276"/>
      <c r="G4" s="276"/>
      <c r="H4" s="276"/>
      <c r="I4" s="276"/>
      <c r="J4" s="276"/>
      <c r="K4" s="280"/>
      <c r="L4" s="281" t="s">
        <v>361</v>
      </c>
      <c r="M4" s="281"/>
      <c r="N4" s="282">
        <f>[2]OPEN!$B$4</f>
        <v>395</v>
      </c>
      <c r="O4" s="276"/>
      <c r="R4" s="276"/>
      <c r="S4" s="292"/>
    </row>
    <row r="5" spans="1:21" ht="12" customHeight="1">
      <c r="A5" s="278" t="str">
        <f>[2]OPEN!$N$2</f>
        <v>2011-2012</v>
      </c>
      <c r="B5" s="279"/>
      <c r="C5" s="279"/>
      <c r="D5" s="279"/>
      <c r="E5" s="279"/>
      <c r="F5" s="279"/>
      <c r="G5" s="279"/>
      <c r="H5" s="279"/>
      <c r="I5" s="279"/>
      <c r="J5" s="279"/>
      <c r="K5" s="279"/>
      <c r="L5" s="279"/>
      <c r="M5" s="279"/>
      <c r="N5" s="279"/>
      <c r="O5" s="276"/>
      <c r="R5" s="276"/>
      <c r="S5" s="292"/>
    </row>
    <row r="6" spans="1:21" ht="12" customHeight="1">
      <c r="A6" s="278" t="s">
        <v>9</v>
      </c>
      <c r="B6" s="279"/>
      <c r="C6" s="279"/>
      <c r="D6" s="279"/>
      <c r="E6" s="279"/>
      <c r="F6" s="279"/>
      <c r="G6" s="279"/>
      <c r="H6" s="279"/>
      <c r="I6" s="279"/>
      <c r="J6" s="279"/>
      <c r="K6" s="279"/>
      <c r="L6" s="279"/>
      <c r="M6" s="279"/>
      <c r="N6" s="279"/>
      <c r="O6" s="276"/>
      <c r="R6" s="276"/>
      <c r="S6" s="292"/>
    </row>
    <row r="7" spans="1:21" ht="12" customHeight="1">
      <c r="A7" s="278" t="s">
        <v>10</v>
      </c>
      <c r="B7" s="279"/>
      <c r="C7" s="279"/>
      <c r="D7" s="279"/>
      <c r="E7" s="279"/>
      <c r="F7" s="279"/>
      <c r="G7" s="279"/>
      <c r="H7" s="279"/>
      <c r="I7" s="279"/>
      <c r="J7" s="279"/>
      <c r="K7" s="279"/>
      <c r="L7" s="279"/>
      <c r="M7" s="279"/>
      <c r="N7" s="279"/>
      <c r="O7" s="276"/>
      <c r="R7" s="276"/>
      <c r="S7" s="292"/>
    </row>
    <row r="8" spans="1:21" ht="12" customHeight="1">
      <c r="A8" s="278" t="str">
        <f>"and In Lieu of Taxes on Industrial Revenue Bonds for July 1, "&amp;[2]OPEN!$Q$5&amp;" to December 31, "&amp;[2]OPEN!$Q$5</f>
        <v>and In Lieu of Taxes on Industrial Revenue Bonds for July 1, 2011 to December 31, 2011</v>
      </c>
      <c r="B8" s="279"/>
      <c r="C8" s="279"/>
      <c r="D8" s="279"/>
      <c r="E8" s="279"/>
      <c r="F8" s="279"/>
      <c r="G8" s="279"/>
      <c r="H8" s="279"/>
      <c r="I8" s="279"/>
      <c r="J8" s="279"/>
      <c r="K8" s="279"/>
      <c r="L8" s="279"/>
      <c r="M8" s="279"/>
      <c r="N8" s="279"/>
      <c r="O8" s="276"/>
      <c r="R8" s="276"/>
      <c r="S8" s="292"/>
    </row>
    <row r="9" spans="1:21" ht="6" customHeight="1">
      <c r="A9" s="283"/>
      <c r="B9" s="276"/>
      <c r="C9" s="276"/>
      <c r="D9" s="276"/>
      <c r="E9" s="276"/>
      <c r="F9" s="276"/>
      <c r="G9" s="276"/>
      <c r="H9" s="276"/>
      <c r="I9" s="276"/>
      <c r="J9" s="276"/>
      <c r="K9" s="276"/>
      <c r="L9" s="276"/>
      <c r="M9" s="276"/>
      <c r="N9" s="276"/>
      <c r="O9" s="276"/>
      <c r="R9" s="276"/>
      <c r="S9" s="292"/>
    </row>
    <row r="10" spans="1:21">
      <c r="A10" s="279" t="s">
        <v>161</v>
      </c>
      <c r="B10" s="279"/>
      <c r="C10" s="279"/>
      <c r="D10" s="279"/>
      <c r="E10" s="279"/>
      <c r="F10" s="279"/>
      <c r="G10" s="279"/>
      <c r="H10" s="279"/>
      <c r="I10" s="279"/>
      <c r="J10" s="279"/>
      <c r="K10" s="279"/>
      <c r="L10" s="279"/>
      <c r="M10" s="279"/>
      <c r="N10" s="279"/>
      <c r="O10" s="276"/>
      <c r="R10" s="276"/>
      <c r="S10" s="292"/>
    </row>
    <row r="11" spans="1:21">
      <c r="A11" s="279" t="str">
        <f>"For New Levies Made in "&amp;[2]OPEN!$O$4&amp;" School Year Until March, "&amp;[2]OPEN!$S$5&amp;".  For new levies made in "&amp;[2]OPEN!$P$4</f>
        <v>For New Levies Made in 2010-2011 School Year Until March, 2012.  For new levies made in 2011-2012</v>
      </c>
      <c r="B11" s="279"/>
      <c r="C11" s="279"/>
      <c r="D11" s="279"/>
      <c r="E11" s="279"/>
      <c r="F11" s="279"/>
      <c r="G11" s="279"/>
      <c r="H11" s="279"/>
      <c r="I11" s="279"/>
      <c r="J11" s="279"/>
      <c r="K11" s="279"/>
      <c r="L11" s="279"/>
      <c r="M11" s="279"/>
      <c r="N11" s="279"/>
      <c r="O11" s="276"/>
      <c r="R11" s="276"/>
      <c r="S11" s="292"/>
    </row>
    <row r="12" spans="1:21">
      <c r="A12" s="279" t="str">
        <f>"revenues will not be received until March, "&amp;[2]OPEN!$U$5</f>
        <v>revenues will not be received until March, 2013</v>
      </c>
      <c r="B12" s="279"/>
      <c r="C12" s="279"/>
      <c r="D12" s="279"/>
      <c r="E12" s="279"/>
      <c r="F12" s="279"/>
      <c r="G12" s="279"/>
      <c r="H12" s="279"/>
      <c r="I12" s="279"/>
      <c r="J12" s="279"/>
      <c r="K12" s="279"/>
      <c r="L12" s="279"/>
      <c r="M12" s="279"/>
      <c r="N12" s="279"/>
      <c r="O12" s="276"/>
      <c r="R12" s="276"/>
      <c r="S12" s="292"/>
    </row>
    <row r="13" spans="1:21" ht="8.1" customHeight="1">
      <c r="A13" s="279"/>
      <c r="B13" s="279"/>
      <c r="C13" s="279"/>
      <c r="D13" s="279"/>
      <c r="E13" s="279"/>
      <c r="F13" s="279"/>
      <c r="G13" s="279"/>
      <c r="H13" s="279"/>
      <c r="I13" s="279"/>
      <c r="J13" s="279"/>
      <c r="K13" s="279"/>
      <c r="L13" s="279"/>
      <c r="M13" s="279"/>
      <c r="N13" s="279"/>
      <c r="O13" s="276"/>
      <c r="R13" s="276"/>
      <c r="S13" s="292"/>
    </row>
    <row r="14" spans="1:21">
      <c r="A14" s="284"/>
      <c r="B14" s="284"/>
      <c r="C14" s="284"/>
      <c r="D14" s="285">
        <v>1</v>
      </c>
      <c r="E14" s="286"/>
      <c r="F14" s="285">
        <v>2</v>
      </c>
      <c r="G14" s="286"/>
      <c r="H14" s="285">
        <v>3</v>
      </c>
      <c r="I14" s="285"/>
      <c r="J14" s="285">
        <v>4</v>
      </c>
      <c r="K14" s="286"/>
      <c r="L14" s="285">
        <v>5</v>
      </c>
      <c r="M14" s="286"/>
      <c r="N14" s="285">
        <v>6</v>
      </c>
      <c r="O14" s="276"/>
      <c r="P14" s="285">
        <v>7</v>
      </c>
      <c r="R14" s="647"/>
      <c r="S14" s="648"/>
    </row>
    <row r="15" spans="1:21">
      <c r="A15" s="284"/>
      <c r="B15" s="284"/>
      <c r="C15" s="284"/>
      <c r="D15" s="286" t="str">
        <f>[2]OPEN!$O$5&amp;" Taxes Levied"</f>
        <v>2009 Taxes Levied</v>
      </c>
      <c r="E15" s="286"/>
      <c r="F15" s="286" t="s">
        <v>162</v>
      </c>
      <c r="G15" s="286"/>
      <c r="H15" s="286" t="s">
        <v>163</v>
      </c>
      <c r="I15" s="286"/>
      <c r="J15" s="286" t="s">
        <v>162</v>
      </c>
      <c r="K15" s="286"/>
      <c r="L15" s="286" t="s">
        <v>164</v>
      </c>
      <c r="M15" s="286"/>
      <c r="N15" s="286" t="s">
        <v>14</v>
      </c>
      <c r="O15" s="276"/>
      <c r="P15" s="286"/>
      <c r="R15" s="649"/>
      <c r="S15" s="648"/>
    </row>
    <row r="16" spans="1:21">
      <c r="A16" s="284"/>
      <c r="B16" s="284"/>
      <c r="C16" s="284"/>
      <c r="D16" s="286" t="s">
        <v>15</v>
      </c>
      <c r="E16" s="286"/>
      <c r="F16" s="286" t="s">
        <v>16</v>
      </c>
      <c r="G16" s="286"/>
      <c r="H16" s="286" t="s">
        <v>17</v>
      </c>
      <c r="I16" s="286"/>
      <c r="J16" s="286" t="s">
        <v>18</v>
      </c>
      <c r="K16" s="286"/>
      <c r="L16" s="286" t="s">
        <v>17</v>
      </c>
      <c r="M16" s="286"/>
      <c r="N16" s="286" t="s">
        <v>19</v>
      </c>
      <c r="O16" s="276"/>
      <c r="P16" s="286" t="s">
        <v>269</v>
      </c>
      <c r="R16" s="649"/>
      <c r="S16" s="648"/>
      <c r="U16" s="277" t="s">
        <v>168</v>
      </c>
    </row>
    <row r="17" spans="1:21" ht="15" customHeight="1">
      <c r="A17" s="287">
        <v>1</v>
      </c>
      <c r="B17" s="276" t="s">
        <v>169</v>
      </c>
      <c r="C17" s="276"/>
      <c r="D17" s="288">
        <f>0*[2]OPEN!$F$21</f>
        <v>0</v>
      </c>
      <c r="E17" s="276"/>
      <c r="F17" s="289">
        <f>0</f>
        <v>0</v>
      </c>
      <c r="G17" s="276"/>
      <c r="H17" s="449" t="s">
        <v>170</v>
      </c>
      <c r="I17" s="290"/>
      <c r="J17" s="289">
        <f>IF(U17=0,0,ROUND(U17/U36,4))</f>
        <v>0.41420000000000001</v>
      </c>
      <c r="K17" s="276"/>
      <c r="L17" s="449" t="s">
        <v>171</v>
      </c>
      <c r="M17" s="276"/>
      <c r="N17" s="288">
        <f t="shared" ref="N17:N35" si="0">J17*$N$36</f>
        <v>0</v>
      </c>
      <c r="O17" s="276"/>
      <c r="P17" s="477" t="s">
        <v>195</v>
      </c>
      <c r="R17" s="290"/>
      <c r="S17" s="648"/>
      <c r="U17" s="290">
        <f>[2]OPEN!F21</f>
        <v>361816</v>
      </c>
    </row>
    <row r="18" spans="1:21" ht="15" customHeight="1">
      <c r="A18" s="287">
        <v>2</v>
      </c>
      <c r="B18" s="276" t="s">
        <v>172</v>
      </c>
      <c r="C18" s="276"/>
      <c r="D18" s="288">
        <f>[2]OPEN!$F$22</f>
        <v>453433</v>
      </c>
      <c r="E18" s="276"/>
      <c r="F18" s="289">
        <f t="shared" ref="F18:F35" si="1">IF(D18=0,0,ROUND(D18/$D$36,4))</f>
        <v>0.88590000000000002</v>
      </c>
      <c r="G18" s="276"/>
      <c r="H18" s="288">
        <f t="shared" ref="H18:H35" si="2">F18*$H$36</f>
        <v>32704</v>
      </c>
      <c r="I18" s="290"/>
      <c r="J18" s="289">
        <f>IF(U18=0,0,ROUND(U18/U36,4))</f>
        <v>0.51900000000000002</v>
      </c>
      <c r="K18" s="276"/>
      <c r="L18" s="288">
        <f t="shared" ref="L18:L35" si="3">F18*$L$36</f>
        <v>516</v>
      </c>
      <c r="M18" s="276"/>
      <c r="N18" s="288">
        <f t="shared" si="0"/>
        <v>0</v>
      </c>
      <c r="O18" s="276"/>
      <c r="P18" s="288">
        <f t="shared" ref="P18:P35" si="4">F18*$P$36</f>
        <v>4474</v>
      </c>
      <c r="R18" s="290"/>
      <c r="S18" s="648"/>
      <c r="U18" s="290">
        <f>[2]OPEN!F22</f>
        <v>453433</v>
      </c>
    </row>
    <row r="19" spans="1:21" ht="15" customHeight="1">
      <c r="A19" s="287">
        <v>3</v>
      </c>
      <c r="B19" s="276" t="s">
        <v>173</v>
      </c>
      <c r="C19" s="276"/>
      <c r="D19" s="288">
        <f>[2]OPEN!$F$23</f>
        <v>0</v>
      </c>
      <c r="E19" s="276"/>
      <c r="F19" s="289">
        <f t="shared" si="1"/>
        <v>0</v>
      </c>
      <c r="G19" s="276"/>
      <c r="H19" s="288">
        <f t="shared" si="2"/>
        <v>0</v>
      </c>
      <c r="I19" s="290"/>
      <c r="J19" s="289">
        <f>IF(U19=0,0,ROUND(U19/U36,4))</f>
        <v>0</v>
      </c>
      <c r="K19" s="276"/>
      <c r="L19" s="288">
        <f t="shared" si="3"/>
        <v>0</v>
      </c>
      <c r="M19" s="276"/>
      <c r="N19" s="288">
        <f t="shared" si="0"/>
        <v>0</v>
      </c>
      <c r="O19" s="276"/>
      <c r="P19" s="288">
        <f t="shared" si="4"/>
        <v>0</v>
      </c>
      <c r="R19" s="290"/>
      <c r="S19" s="648"/>
      <c r="U19" s="290">
        <f>[2]OPEN!F23</f>
        <v>0</v>
      </c>
    </row>
    <row r="20" spans="1:21" ht="15" customHeight="1">
      <c r="A20" s="287">
        <v>4</v>
      </c>
      <c r="B20" s="276" t="s">
        <v>174</v>
      </c>
      <c r="C20" s="276"/>
      <c r="D20" s="288">
        <f>[2]OPEN!$F$24</f>
        <v>58373</v>
      </c>
      <c r="E20" s="276"/>
      <c r="F20" s="289">
        <f t="shared" si="1"/>
        <v>0.11409999999999999</v>
      </c>
      <c r="G20" s="276"/>
      <c r="H20" s="288">
        <f t="shared" si="2"/>
        <v>4212</v>
      </c>
      <c r="I20" s="290"/>
      <c r="J20" s="289">
        <f>IF(U20=0,0,ROUND(U20/U36,4))</f>
        <v>6.6799999999999998E-2</v>
      </c>
      <c r="K20" s="276"/>
      <c r="L20" s="288">
        <f t="shared" si="3"/>
        <v>66</v>
      </c>
      <c r="M20" s="276"/>
      <c r="N20" s="288">
        <f t="shared" si="0"/>
        <v>0</v>
      </c>
      <c r="O20" s="276"/>
      <c r="P20" s="288">
        <f t="shared" si="4"/>
        <v>576</v>
      </c>
      <c r="R20" s="290"/>
      <c r="S20" s="648"/>
      <c r="U20" s="290">
        <f>[2]OPEN!F24</f>
        <v>58373</v>
      </c>
    </row>
    <row r="21" spans="1:21" ht="15" customHeight="1">
      <c r="A21" s="287">
        <v>5</v>
      </c>
      <c r="B21" s="276" t="s">
        <v>175</v>
      </c>
      <c r="C21" s="276"/>
      <c r="D21" s="288">
        <f>[2]OPEN!$F$30</f>
        <v>0</v>
      </c>
      <c r="E21" s="276"/>
      <c r="F21" s="289">
        <f t="shared" si="1"/>
        <v>0</v>
      </c>
      <c r="G21" s="276"/>
      <c r="H21" s="288">
        <f t="shared" si="2"/>
        <v>0</v>
      </c>
      <c r="I21" s="290"/>
      <c r="J21" s="289">
        <f>IF(U21=0,0,ROUND(U21/U36,4))</f>
        <v>0</v>
      </c>
      <c r="K21" s="276"/>
      <c r="L21" s="288">
        <f t="shared" si="3"/>
        <v>0</v>
      </c>
      <c r="M21" s="276"/>
      <c r="N21" s="288">
        <f t="shared" si="0"/>
        <v>0</v>
      </c>
      <c r="O21" s="276"/>
      <c r="P21" s="288">
        <f t="shared" si="4"/>
        <v>0</v>
      </c>
      <c r="R21" s="290"/>
      <c r="S21" s="648"/>
      <c r="U21" s="290">
        <f>[2]OPEN!F30</f>
        <v>0</v>
      </c>
    </row>
    <row r="22" spans="1:21" ht="15" customHeight="1">
      <c r="A22" s="287">
        <v>6</v>
      </c>
      <c r="B22" s="276" t="str">
        <f>[2]OPEN!$O$44</f>
        <v>Bond and Interest #1</v>
      </c>
      <c r="C22" s="276"/>
      <c r="D22" s="288">
        <f>[2]OPEN!$F$27</f>
        <v>0</v>
      </c>
      <c r="E22" s="276"/>
      <c r="F22" s="289">
        <f t="shared" si="1"/>
        <v>0</v>
      </c>
      <c r="G22" s="276"/>
      <c r="H22" s="288">
        <f t="shared" si="2"/>
        <v>0</v>
      </c>
      <c r="I22" s="290"/>
      <c r="J22" s="289">
        <f>IF(U22=0,0,ROUND(U22/U36,4))</f>
        <v>0</v>
      </c>
      <c r="K22" s="276"/>
      <c r="L22" s="288">
        <f t="shared" si="3"/>
        <v>0</v>
      </c>
      <c r="M22" s="276"/>
      <c r="N22" s="288">
        <f t="shared" si="0"/>
        <v>0</v>
      </c>
      <c r="O22" s="276"/>
      <c r="P22" s="288">
        <f t="shared" si="4"/>
        <v>0</v>
      </c>
      <c r="R22" s="290"/>
      <c r="S22" s="648"/>
      <c r="U22" s="290">
        <f>[2]OPEN!F27</f>
        <v>0</v>
      </c>
    </row>
    <row r="23" spans="1:21" ht="15" customHeight="1">
      <c r="A23" s="287">
        <v>7</v>
      </c>
      <c r="B23" s="276" t="str">
        <f>[2]OPEN!$O$45</f>
        <v>Bond and Interest #2</v>
      </c>
      <c r="C23" s="276"/>
      <c r="D23" s="288">
        <f>[2]OPEN!$F$28</f>
        <v>0</v>
      </c>
      <c r="E23" s="276"/>
      <c r="F23" s="289">
        <f t="shared" si="1"/>
        <v>0</v>
      </c>
      <c r="G23" s="276"/>
      <c r="H23" s="288">
        <f t="shared" si="2"/>
        <v>0</v>
      </c>
      <c r="I23" s="290"/>
      <c r="J23" s="289">
        <f>IF(U23=0,0,ROUND(U23/U36,4))</f>
        <v>0</v>
      </c>
      <c r="K23" s="276"/>
      <c r="L23" s="288">
        <f t="shared" si="3"/>
        <v>0</v>
      </c>
      <c r="M23" s="276"/>
      <c r="N23" s="288">
        <f t="shared" si="0"/>
        <v>0</v>
      </c>
      <c r="O23" s="276"/>
      <c r="P23" s="288">
        <f t="shared" si="4"/>
        <v>0</v>
      </c>
      <c r="R23" s="290"/>
      <c r="S23" s="648"/>
      <c r="U23" s="290">
        <f>[2]OPEN!F28</f>
        <v>0</v>
      </c>
    </row>
    <row r="24" spans="1:21" ht="15" customHeight="1">
      <c r="A24" s="287">
        <v>8</v>
      </c>
      <c r="B24" s="276" t="s">
        <v>176</v>
      </c>
      <c r="C24" s="276"/>
      <c r="D24" s="288">
        <f>[2]OPEN!$F$31</f>
        <v>0</v>
      </c>
      <c r="E24" s="276"/>
      <c r="F24" s="289">
        <f t="shared" si="1"/>
        <v>0</v>
      </c>
      <c r="G24" s="276"/>
      <c r="H24" s="288">
        <f t="shared" si="2"/>
        <v>0</v>
      </c>
      <c r="I24" s="290"/>
      <c r="J24" s="289">
        <f>IF(U24=0,0,ROUND(U24/U36,4))</f>
        <v>0</v>
      </c>
      <c r="K24" s="276"/>
      <c r="L24" s="288">
        <f t="shared" si="3"/>
        <v>0</v>
      </c>
      <c r="M24" s="276"/>
      <c r="N24" s="288">
        <f t="shared" si="0"/>
        <v>0</v>
      </c>
      <c r="O24" s="276"/>
      <c r="P24" s="288">
        <f t="shared" si="4"/>
        <v>0</v>
      </c>
      <c r="R24" s="290"/>
      <c r="S24" s="648"/>
      <c r="U24" s="290">
        <f>[2]OPEN!F31</f>
        <v>0</v>
      </c>
    </row>
    <row r="25" spans="1:21" ht="15" customHeight="1">
      <c r="A25" s="287">
        <v>9</v>
      </c>
      <c r="B25" s="276" t="str">
        <f>[2]OPEN!$O$49</f>
        <v>Recreation Commission</v>
      </c>
      <c r="C25" s="276"/>
      <c r="D25" s="288">
        <f>[2]OPEN!$F$35</f>
        <v>0</v>
      </c>
      <c r="E25" s="276"/>
      <c r="F25" s="289">
        <f t="shared" si="1"/>
        <v>0</v>
      </c>
      <c r="G25" s="276"/>
      <c r="H25" s="288">
        <f t="shared" si="2"/>
        <v>0</v>
      </c>
      <c r="I25" s="290"/>
      <c r="J25" s="289">
        <f>IF(U25=0,0,ROUND(U25/U36,4))</f>
        <v>0</v>
      </c>
      <c r="K25" s="276"/>
      <c r="L25" s="288">
        <f t="shared" si="3"/>
        <v>0</v>
      </c>
      <c r="M25" s="276"/>
      <c r="N25" s="288">
        <f t="shared" si="0"/>
        <v>0</v>
      </c>
      <c r="O25" s="276"/>
      <c r="P25" s="288">
        <f t="shared" si="4"/>
        <v>0</v>
      </c>
      <c r="R25" s="290"/>
      <c r="S25" s="648"/>
      <c r="U25" s="290">
        <f>[2]OPEN!F35</f>
        <v>0</v>
      </c>
    </row>
    <row r="26" spans="1:21" ht="15" customHeight="1">
      <c r="A26" s="287">
        <v>10</v>
      </c>
      <c r="B26" s="276" t="str">
        <f>[2]OPEN!$Q$53</f>
        <v>Rec Comm Employee Bnfts</v>
      </c>
      <c r="C26" s="276"/>
      <c r="D26" s="288">
        <f>[2]OPEN!$F$37</f>
        <v>0</v>
      </c>
      <c r="E26" s="276"/>
      <c r="F26" s="289">
        <f t="shared" si="1"/>
        <v>0</v>
      </c>
      <c r="G26" s="276"/>
      <c r="H26" s="288">
        <f t="shared" si="2"/>
        <v>0</v>
      </c>
      <c r="I26" s="290"/>
      <c r="J26" s="289">
        <f>IF(U26=0,0,ROUND(U26/U36,4))</f>
        <v>0</v>
      </c>
      <c r="K26" s="276"/>
      <c r="L26" s="288">
        <f t="shared" si="3"/>
        <v>0</v>
      </c>
      <c r="M26" s="276"/>
      <c r="N26" s="288">
        <f t="shared" si="0"/>
        <v>0</v>
      </c>
      <c r="O26" s="276"/>
      <c r="P26" s="288">
        <f t="shared" si="4"/>
        <v>0</v>
      </c>
      <c r="R26" s="290"/>
      <c r="S26" s="648"/>
      <c r="U26" s="290">
        <f>[2]OPEN!F37</f>
        <v>0</v>
      </c>
    </row>
    <row r="27" spans="1:21" ht="15" customHeight="1">
      <c r="A27" s="287">
        <v>11</v>
      </c>
      <c r="B27" s="291" t="s">
        <v>31</v>
      </c>
      <c r="C27" s="291"/>
      <c r="D27" s="288">
        <f>[2]OPEN!$F$29</f>
        <v>0</v>
      </c>
      <c r="E27" s="276"/>
      <c r="F27" s="289">
        <f t="shared" si="1"/>
        <v>0</v>
      </c>
      <c r="G27" s="276"/>
      <c r="H27" s="288">
        <f t="shared" si="2"/>
        <v>0</v>
      </c>
      <c r="I27" s="290"/>
      <c r="J27" s="289">
        <f>IF(U27=0,0,ROUND(U27/U36,4))</f>
        <v>0</v>
      </c>
      <c r="K27" s="276"/>
      <c r="L27" s="288">
        <f t="shared" si="3"/>
        <v>0</v>
      </c>
      <c r="M27" s="276"/>
      <c r="N27" s="288">
        <f t="shared" si="0"/>
        <v>0</v>
      </c>
      <c r="O27" s="276"/>
      <c r="P27" s="288">
        <f t="shared" si="4"/>
        <v>0</v>
      </c>
      <c r="R27" s="290"/>
      <c r="S27" s="648"/>
      <c r="U27" s="290">
        <f>[2]OPEN!F29</f>
        <v>0</v>
      </c>
    </row>
    <row r="28" spans="1:21" ht="15" customHeight="1">
      <c r="A28" s="287">
        <v>13</v>
      </c>
      <c r="B28" s="418" t="s">
        <v>272</v>
      </c>
      <c r="C28" s="291"/>
      <c r="D28" s="288">
        <f>[2]OPEN!$F$25</f>
        <v>0</v>
      </c>
      <c r="E28" s="276"/>
      <c r="F28" s="289">
        <f t="shared" si="1"/>
        <v>0</v>
      </c>
      <c r="G28" s="276"/>
      <c r="H28" s="288">
        <f t="shared" si="2"/>
        <v>0</v>
      </c>
      <c r="I28" s="290"/>
      <c r="J28" s="289">
        <f>IF(U28=0,0,ROUND(U28/U36,4))</f>
        <v>0</v>
      </c>
      <c r="K28" s="276"/>
      <c r="L28" s="288">
        <f t="shared" si="3"/>
        <v>0</v>
      </c>
      <c r="M28" s="276"/>
      <c r="N28" s="288">
        <f t="shared" si="0"/>
        <v>0</v>
      </c>
      <c r="O28" s="276"/>
      <c r="P28" s="288">
        <f t="shared" si="4"/>
        <v>0</v>
      </c>
      <c r="R28" s="290"/>
      <c r="S28" s="648"/>
      <c r="U28" s="290">
        <f>[2]OPEN!F25</f>
        <v>0</v>
      </c>
    </row>
    <row r="29" spans="1:21" ht="15" customHeight="1">
      <c r="A29" s="287">
        <v>14</v>
      </c>
      <c r="B29" s="276" t="s">
        <v>449</v>
      </c>
      <c r="C29" s="276"/>
      <c r="D29" s="288">
        <f>[2]OPEN!$F$26</f>
        <v>0</v>
      </c>
      <c r="E29" s="276"/>
      <c r="F29" s="289">
        <f t="shared" si="1"/>
        <v>0</v>
      </c>
      <c r="G29" s="276"/>
      <c r="H29" s="288">
        <f t="shared" si="2"/>
        <v>0</v>
      </c>
      <c r="I29" s="290"/>
      <c r="J29" s="289">
        <f>IF(U29=0,0,ROUND(U29/U36,4))</f>
        <v>0</v>
      </c>
      <c r="K29" s="276"/>
      <c r="L29" s="288">
        <f t="shared" si="3"/>
        <v>0</v>
      </c>
      <c r="M29" s="276"/>
      <c r="N29" s="288">
        <f t="shared" si="0"/>
        <v>0</v>
      </c>
      <c r="O29" s="276"/>
      <c r="P29" s="288">
        <f t="shared" si="4"/>
        <v>0</v>
      </c>
      <c r="R29" s="290"/>
      <c r="S29" s="648"/>
      <c r="U29" s="290">
        <f>[2]OPEN!F26</f>
        <v>0</v>
      </c>
    </row>
    <row r="30" spans="1:21" ht="15" customHeight="1">
      <c r="A30" s="287">
        <v>15</v>
      </c>
      <c r="B30" s="276" t="s">
        <v>32</v>
      </c>
      <c r="C30" s="276"/>
      <c r="D30" s="288">
        <f>[2]OPEN!$F$32</f>
        <v>0</v>
      </c>
      <c r="E30" s="276"/>
      <c r="F30" s="289">
        <f t="shared" si="1"/>
        <v>0</v>
      </c>
      <c r="G30" s="276"/>
      <c r="H30" s="288">
        <f t="shared" si="2"/>
        <v>0</v>
      </c>
      <c r="I30" s="290"/>
      <c r="J30" s="289">
        <f>IF(U30=0,0,ROUND(U30/U36,4))</f>
        <v>0</v>
      </c>
      <c r="K30" s="276"/>
      <c r="L30" s="288">
        <f t="shared" si="3"/>
        <v>0</v>
      </c>
      <c r="M30" s="276"/>
      <c r="N30" s="288">
        <f t="shared" si="0"/>
        <v>0</v>
      </c>
      <c r="O30" s="276"/>
      <c r="P30" s="288">
        <f t="shared" si="4"/>
        <v>0</v>
      </c>
      <c r="R30" s="290"/>
      <c r="S30" s="648"/>
      <c r="U30" s="290">
        <f>[2]OPEN!F32</f>
        <v>0</v>
      </c>
    </row>
    <row r="31" spans="1:21" ht="15" customHeight="1">
      <c r="A31" s="287">
        <v>16</v>
      </c>
      <c r="B31" s="276" t="s">
        <v>33</v>
      </c>
      <c r="C31" s="276"/>
      <c r="D31" s="288">
        <f>[2]OPEN!$F$38</f>
        <v>0</v>
      </c>
      <c r="E31" s="276"/>
      <c r="F31" s="289">
        <f t="shared" si="1"/>
        <v>0</v>
      </c>
      <c r="G31" s="276"/>
      <c r="H31" s="288">
        <f t="shared" si="2"/>
        <v>0</v>
      </c>
      <c r="I31" s="290"/>
      <c r="J31" s="289">
        <f>IF(U31=0,0,ROUND(U31/U36,4))</f>
        <v>0</v>
      </c>
      <c r="K31" s="276"/>
      <c r="L31" s="288">
        <f t="shared" si="3"/>
        <v>0</v>
      </c>
      <c r="M31" s="276"/>
      <c r="N31" s="288">
        <f t="shared" si="0"/>
        <v>0</v>
      </c>
      <c r="O31" s="276"/>
      <c r="P31" s="288">
        <f t="shared" si="4"/>
        <v>0</v>
      </c>
      <c r="R31" s="290"/>
      <c r="S31" s="648"/>
      <c r="U31" s="290">
        <f>[2]OPEN!F38</f>
        <v>0</v>
      </c>
    </row>
    <row r="32" spans="1:21" ht="15" customHeight="1">
      <c r="A32" s="287">
        <v>17</v>
      </c>
      <c r="B32" s="276" t="s">
        <v>34</v>
      </c>
      <c r="C32" s="276"/>
      <c r="D32" s="288">
        <f>[2]OPEN!$F$33</f>
        <v>0</v>
      </c>
      <c r="E32" s="276"/>
      <c r="F32" s="289">
        <f t="shared" si="1"/>
        <v>0</v>
      </c>
      <c r="G32" s="276"/>
      <c r="H32" s="288">
        <f t="shared" si="2"/>
        <v>0</v>
      </c>
      <c r="I32" s="290"/>
      <c r="J32" s="289">
        <f>IF(U32=0,0,ROUND(U32/U36,4))</f>
        <v>0</v>
      </c>
      <c r="K32" s="276"/>
      <c r="L32" s="288">
        <f t="shared" si="3"/>
        <v>0</v>
      </c>
      <c r="M32" s="276"/>
      <c r="N32" s="288">
        <f t="shared" si="0"/>
        <v>0</v>
      </c>
      <c r="O32" s="276"/>
      <c r="P32" s="288">
        <f t="shared" si="4"/>
        <v>0</v>
      </c>
      <c r="R32" s="290"/>
      <c r="S32" s="648"/>
      <c r="U32" s="290">
        <f>[2]OPEN!F33</f>
        <v>0</v>
      </c>
    </row>
    <row r="33" spans="1:21" ht="15" customHeight="1">
      <c r="A33" s="287">
        <v>18</v>
      </c>
      <c r="B33" s="276" t="s">
        <v>35</v>
      </c>
      <c r="C33" s="276"/>
      <c r="D33" s="288">
        <f>[2]OPEN!$F$34</f>
        <v>0</v>
      </c>
      <c r="E33" s="276"/>
      <c r="F33" s="289">
        <f t="shared" si="1"/>
        <v>0</v>
      </c>
      <c r="G33" s="276"/>
      <c r="H33" s="288">
        <f t="shared" si="2"/>
        <v>0</v>
      </c>
      <c r="I33" s="290"/>
      <c r="J33" s="289">
        <f>IF(U33=0,0,ROUND(U33/U36,4))</f>
        <v>0</v>
      </c>
      <c r="K33" s="276"/>
      <c r="L33" s="288">
        <f t="shared" si="3"/>
        <v>0</v>
      </c>
      <c r="M33" s="276"/>
      <c r="N33" s="288">
        <f t="shared" si="0"/>
        <v>0</v>
      </c>
      <c r="O33" s="276"/>
      <c r="P33" s="288">
        <f t="shared" si="4"/>
        <v>0</v>
      </c>
      <c r="R33" s="290"/>
      <c r="S33" s="648"/>
      <c r="U33" s="290">
        <f>[2]OPEN!F34</f>
        <v>0</v>
      </c>
    </row>
    <row r="34" spans="1:21" ht="15" customHeight="1">
      <c r="A34" s="287">
        <v>19</v>
      </c>
      <c r="B34" s="276" t="s">
        <v>189</v>
      </c>
      <c r="C34" s="276"/>
      <c r="D34" s="288">
        <f>[2]OPEN!$F$39</f>
        <v>0</v>
      </c>
      <c r="E34" s="276"/>
      <c r="F34" s="289">
        <f t="shared" si="1"/>
        <v>0</v>
      </c>
      <c r="G34" s="276"/>
      <c r="H34" s="288">
        <f t="shared" si="2"/>
        <v>0</v>
      </c>
      <c r="I34" s="290"/>
      <c r="J34" s="289">
        <f>IF(U34=0,0,ROUND(U34/U36,4))</f>
        <v>0</v>
      </c>
      <c r="K34" s="276"/>
      <c r="L34" s="288">
        <f t="shared" si="3"/>
        <v>0</v>
      </c>
      <c r="M34" s="276"/>
      <c r="N34" s="288">
        <f t="shared" si="0"/>
        <v>0</v>
      </c>
      <c r="O34" s="276"/>
      <c r="P34" s="288">
        <f t="shared" si="4"/>
        <v>0</v>
      </c>
      <c r="R34" s="290"/>
      <c r="S34" s="648"/>
      <c r="U34" s="290">
        <f>[2]OPEN!$F$39</f>
        <v>0</v>
      </c>
    </row>
    <row r="35" spans="1:21" ht="15" customHeight="1">
      <c r="A35" s="287">
        <v>20</v>
      </c>
      <c r="B35" s="276" t="s">
        <v>448</v>
      </c>
      <c r="C35" s="276"/>
      <c r="D35" s="288">
        <f>[2]OPEN!$F$40</f>
        <v>0</v>
      </c>
      <c r="E35" s="276"/>
      <c r="F35" s="289">
        <f t="shared" si="1"/>
        <v>0</v>
      </c>
      <c r="G35" s="276"/>
      <c r="H35" s="288">
        <f t="shared" si="2"/>
        <v>0</v>
      </c>
      <c r="I35" s="290"/>
      <c r="J35" s="289">
        <f>IF(U35=0,0,ROUND(U35/U36,4))</f>
        <v>0</v>
      </c>
      <c r="K35" s="276"/>
      <c r="L35" s="288">
        <f t="shared" si="3"/>
        <v>0</v>
      </c>
      <c r="M35" s="276"/>
      <c r="N35" s="288">
        <f t="shared" si="0"/>
        <v>0</v>
      </c>
      <c r="O35" s="276"/>
      <c r="P35" s="288">
        <f t="shared" si="4"/>
        <v>0</v>
      </c>
      <c r="R35" s="290"/>
      <c r="S35" s="648"/>
      <c r="U35" s="288">
        <f>[2]OPEN!$F$40</f>
        <v>0</v>
      </c>
    </row>
    <row r="36" spans="1:21" ht="15" customHeight="1">
      <c r="A36" s="287">
        <v>21</v>
      </c>
      <c r="B36" s="276" t="s">
        <v>293</v>
      </c>
      <c r="C36" s="276"/>
      <c r="D36" s="288">
        <f>SUM(D17:D35)</f>
        <v>511806</v>
      </c>
      <c r="E36" s="276"/>
      <c r="F36" s="289">
        <f>ROUND(SUM(F17:F35),2)</f>
        <v>1</v>
      </c>
      <c r="G36" s="276" t="s">
        <v>36</v>
      </c>
      <c r="H36" s="288">
        <f>'F110'!$B$91*0.67</f>
        <v>36916</v>
      </c>
      <c r="I36" s="276" t="s">
        <v>37</v>
      </c>
      <c r="J36" s="289">
        <f>ROUND(SUM(J17:J35),2)</f>
        <v>1</v>
      </c>
      <c r="K36" s="276" t="s">
        <v>36</v>
      </c>
      <c r="L36" s="288">
        <f>'F110'!$G$91*0.67</f>
        <v>582</v>
      </c>
      <c r="M36" s="276" t="s">
        <v>37</v>
      </c>
      <c r="N36" s="288">
        <f>'F110'!$K$91*0.67</f>
        <v>0</v>
      </c>
      <c r="O36" s="276" t="s">
        <v>37</v>
      </c>
      <c r="P36" s="288">
        <f>'F110'!$M$96*0.67</f>
        <v>5050</v>
      </c>
      <c r="Q36" s="452" t="s">
        <v>37</v>
      </c>
      <c r="R36" s="290"/>
      <c r="S36" s="296"/>
      <c r="U36" s="528">
        <f>SUM(U17:U35)</f>
        <v>873622</v>
      </c>
    </row>
    <row r="37" spans="1:21" ht="12.75" customHeight="1">
      <c r="A37" s="276"/>
      <c r="B37" s="276"/>
      <c r="C37" s="276"/>
      <c r="D37" s="276"/>
      <c r="E37" s="276"/>
      <c r="F37" s="276"/>
      <c r="G37" s="276"/>
      <c r="H37" s="276"/>
      <c r="I37" s="276"/>
      <c r="J37" s="276"/>
      <c r="K37" s="276"/>
      <c r="L37" s="276"/>
      <c r="M37" s="276"/>
      <c r="N37" s="276"/>
      <c r="O37" s="276"/>
      <c r="R37" s="276"/>
      <c r="S37" s="292"/>
    </row>
    <row r="38" spans="1:21" s="292" customFormat="1" ht="13.5" customHeight="1">
      <c r="A38" s="276"/>
      <c r="B38" s="276"/>
      <c r="C38" s="276"/>
      <c r="D38" s="276"/>
      <c r="E38" s="276"/>
      <c r="F38" s="276"/>
      <c r="G38" s="276"/>
      <c r="H38" s="276"/>
      <c r="I38" s="276"/>
      <c r="J38" s="276"/>
      <c r="K38" s="276"/>
      <c r="L38" s="276"/>
      <c r="M38" s="276"/>
      <c r="N38" s="276"/>
      <c r="O38" s="276"/>
      <c r="P38" s="276"/>
      <c r="Q38" s="276"/>
      <c r="R38" s="276"/>
    </row>
    <row r="39" spans="1:21" s="292" customFormat="1">
      <c r="A39" s="276" t="s">
        <v>38</v>
      </c>
      <c r="B39" s="276" t="str">
        <f>"Do not include taxes levied for any funds in which a budget will not be made in "&amp;[2]OPEN!$P$4&amp;"."</f>
        <v>Do not include taxes levied for any funds in which a budget will not be made in 2011-2012.</v>
      </c>
      <c r="C39" s="276"/>
      <c r="D39" s="276"/>
      <c r="E39" s="276"/>
      <c r="F39" s="276"/>
      <c r="G39" s="276"/>
      <c r="H39" s="276"/>
      <c r="I39" s="276"/>
      <c r="J39" s="276"/>
      <c r="K39" s="276"/>
      <c r="L39" s="276"/>
      <c r="M39" s="276"/>
      <c r="N39" s="276"/>
      <c r="O39" s="276"/>
      <c r="P39" s="276"/>
      <c r="Q39" s="276"/>
      <c r="R39" s="276"/>
    </row>
    <row r="40" spans="1:21" s="292" customFormat="1">
      <c r="A40" s="276" t="s">
        <v>39</v>
      </c>
      <c r="B40" s="276" t="s">
        <v>42</v>
      </c>
      <c r="C40" s="276"/>
      <c r="D40" s="276"/>
      <c r="E40" s="276"/>
      <c r="F40" s="276"/>
      <c r="G40" s="276"/>
      <c r="H40" s="276"/>
      <c r="I40" s="276"/>
      <c r="J40" s="276"/>
      <c r="K40" s="276"/>
      <c r="L40" s="276"/>
      <c r="M40" s="276"/>
      <c r="N40" s="276"/>
      <c r="O40" s="276"/>
      <c r="P40" s="276"/>
      <c r="Q40" s="276"/>
      <c r="R40" s="276"/>
    </row>
    <row r="41" spans="1:21" s="292" customFormat="1">
      <c r="A41" s="276" t="s">
        <v>36</v>
      </c>
      <c r="B41" s="276" t="s">
        <v>43</v>
      </c>
      <c r="C41" s="276"/>
      <c r="D41" s="276"/>
      <c r="E41" s="276"/>
      <c r="F41" s="276"/>
      <c r="G41" s="276"/>
      <c r="H41" s="276"/>
      <c r="I41" s="276"/>
      <c r="J41" s="276"/>
      <c r="K41" s="276"/>
      <c r="L41" s="276"/>
      <c r="M41" s="276"/>
      <c r="N41" s="276"/>
      <c r="O41" s="276"/>
      <c r="P41" s="276"/>
      <c r="Q41" s="276"/>
      <c r="R41" s="276"/>
    </row>
    <row r="42" spans="1:21" s="292" customFormat="1">
      <c r="A42" s="276" t="s">
        <v>44</v>
      </c>
      <c r="B42" s="276" t="s">
        <v>446</v>
      </c>
      <c r="C42" s="276"/>
      <c r="D42" s="276"/>
      <c r="E42" s="276"/>
      <c r="F42" s="276"/>
      <c r="G42" s="276"/>
      <c r="H42" s="276"/>
      <c r="I42" s="276"/>
      <c r="J42" s="276"/>
      <c r="K42" s="276"/>
      <c r="L42" s="276"/>
      <c r="M42" s="276"/>
      <c r="N42" s="276"/>
      <c r="O42" s="276"/>
      <c r="P42" s="276"/>
      <c r="Q42" s="276"/>
      <c r="R42" s="276"/>
    </row>
    <row r="43" spans="1:21" s="292" customFormat="1">
      <c r="A43" s="276" t="s">
        <v>37</v>
      </c>
      <c r="B43" s="417" t="s">
        <v>580</v>
      </c>
      <c r="C43" s="276"/>
      <c r="D43" s="276"/>
      <c r="E43" s="276"/>
      <c r="F43" s="276"/>
      <c r="G43" s="276"/>
      <c r="H43" s="276"/>
      <c r="I43" s="276"/>
      <c r="J43" s="276"/>
      <c r="K43" s="276"/>
      <c r="L43" s="276"/>
      <c r="M43" s="276"/>
      <c r="N43" s="276"/>
      <c r="O43" s="276"/>
      <c r="P43" s="276"/>
      <c r="Q43" s="276"/>
      <c r="R43" s="276"/>
    </row>
    <row r="44" spans="1:21" s="292" customFormat="1">
      <c r="A44" s="276" t="s">
        <v>45</v>
      </c>
      <c r="B44" s="276" t="str">
        <f>"Includes the total "&amp;[2]OPEN!$O$5&amp;" General Fund taxes levied."</f>
        <v>Includes the total 2009 General Fund taxes levied.</v>
      </c>
      <c r="C44" s="276"/>
      <c r="D44" s="276"/>
      <c r="E44" s="276"/>
      <c r="F44" s="276"/>
      <c r="G44" s="276"/>
      <c r="H44" s="276"/>
      <c r="I44" s="276"/>
      <c r="J44" s="276"/>
      <c r="K44" s="276"/>
      <c r="L44" s="276"/>
      <c r="M44" s="276"/>
      <c r="N44" s="276"/>
      <c r="O44" s="276"/>
      <c r="P44" s="276"/>
      <c r="Q44" s="276"/>
      <c r="R44" s="276"/>
    </row>
    <row r="45" spans="1:21" s="292" customFormat="1" ht="15" customHeight="1">
      <c r="A45" s="276" t="s">
        <v>46</v>
      </c>
      <c r="B45" s="284" t="s">
        <v>447</v>
      </c>
      <c r="C45" s="276"/>
      <c r="D45" s="276"/>
      <c r="E45" s="276"/>
      <c r="F45" s="276"/>
      <c r="G45" s="276"/>
      <c r="H45" s="276"/>
      <c r="I45" s="276"/>
      <c r="J45" s="276"/>
      <c r="K45" s="276"/>
      <c r="L45" s="276"/>
      <c r="M45" s="276"/>
      <c r="N45" s="276"/>
      <c r="O45" s="276"/>
      <c r="P45" s="276"/>
      <c r="Q45" s="276"/>
      <c r="R45" s="276"/>
    </row>
    <row r="46" spans="1:21" s="292" customFormat="1" hidden="1">
      <c r="A46" s="276"/>
      <c r="B46" s="276"/>
      <c r="C46" s="276"/>
      <c r="D46" s="276"/>
      <c r="E46" s="276"/>
      <c r="F46" s="276"/>
      <c r="G46" s="276"/>
      <c r="H46" s="276"/>
      <c r="I46" s="276"/>
      <c r="J46" s="276"/>
      <c r="K46" s="276"/>
      <c r="L46" s="276"/>
      <c r="M46" s="276"/>
      <c r="N46" s="276"/>
      <c r="O46" s="276"/>
      <c r="P46" s="276"/>
      <c r="Q46" s="276"/>
      <c r="R46" s="276"/>
    </row>
    <row r="47" spans="1:21" s="292" customFormat="1" hidden="1">
      <c r="A47" s="276"/>
      <c r="B47" s="276"/>
      <c r="C47" s="276"/>
      <c r="D47" s="276"/>
      <c r="E47" s="276"/>
      <c r="F47" s="276"/>
      <c r="G47" s="276"/>
      <c r="H47" s="276"/>
      <c r="I47" s="276"/>
      <c r="J47" s="276"/>
      <c r="K47" s="276"/>
      <c r="L47" s="276"/>
      <c r="M47" s="276"/>
      <c r="N47" s="276"/>
      <c r="O47" s="276"/>
      <c r="P47" s="276"/>
      <c r="Q47" s="276"/>
      <c r="R47" s="276"/>
    </row>
    <row r="48" spans="1:21" s="292" customFormat="1" ht="12.75" hidden="1" customHeight="1">
      <c r="A48" s="276"/>
      <c r="B48" s="284"/>
      <c r="C48" s="279"/>
      <c r="D48" s="293"/>
      <c r="E48" s="279"/>
      <c r="F48" s="279"/>
      <c r="G48" s="279"/>
      <c r="H48" s="279"/>
      <c r="I48" s="279"/>
      <c r="J48" s="279"/>
      <c r="K48" s="279"/>
      <c r="L48" s="279"/>
      <c r="M48" s="276"/>
      <c r="N48" s="276"/>
      <c r="O48" s="276"/>
      <c r="P48" s="276"/>
      <c r="Q48" s="276"/>
      <c r="R48" s="276"/>
    </row>
    <row r="49" spans="1:19" s="292" customFormat="1" ht="12.75" hidden="1" customHeight="1">
      <c r="A49" s="276"/>
      <c r="B49" s="283"/>
      <c r="C49" s="276"/>
      <c r="D49" s="276"/>
      <c r="E49" s="276"/>
      <c r="F49" s="278"/>
      <c r="G49" s="276"/>
      <c r="H49" s="278"/>
      <c r="I49" s="278"/>
      <c r="J49" s="278"/>
      <c r="K49" s="276"/>
      <c r="L49" s="276"/>
      <c r="M49" s="276"/>
      <c r="N49" s="276"/>
      <c r="O49" s="276"/>
      <c r="P49" s="276"/>
      <c r="Q49" s="276"/>
      <c r="R49" s="276"/>
    </row>
    <row r="50" spans="1:19" s="292" customFormat="1" ht="18.75" hidden="1" customHeight="1">
      <c r="A50" s="276"/>
      <c r="B50" s="276"/>
      <c r="C50" s="276"/>
      <c r="D50" s="276"/>
      <c r="E50" s="276"/>
      <c r="F50" s="278"/>
      <c r="G50" s="276"/>
      <c r="H50" s="294"/>
      <c r="I50" s="278"/>
      <c r="J50" s="278"/>
      <c r="K50" s="276"/>
      <c r="L50" s="276"/>
      <c r="M50" s="276"/>
      <c r="N50" s="276"/>
      <c r="O50" s="276"/>
      <c r="P50" s="276"/>
      <c r="Q50" s="276"/>
      <c r="R50" s="276"/>
    </row>
    <row r="51" spans="1:19" hidden="1">
      <c r="A51" s="276"/>
      <c r="B51" s="283"/>
      <c r="C51" s="276"/>
      <c r="D51" s="276"/>
      <c r="E51" s="276"/>
      <c r="F51" s="522"/>
      <c r="G51" s="291"/>
      <c r="H51" s="290"/>
      <c r="I51" s="295"/>
      <c r="J51" s="295"/>
      <c r="K51" s="276"/>
      <c r="L51" s="276"/>
      <c r="M51" s="276"/>
      <c r="N51" s="276"/>
      <c r="O51" s="276"/>
      <c r="R51" s="276"/>
      <c r="S51" s="292"/>
    </row>
    <row r="52" spans="1:19" hidden="1">
      <c r="A52" s="276"/>
      <c r="B52" s="283"/>
      <c r="C52" s="276"/>
      <c r="D52" s="276"/>
      <c r="E52" s="276"/>
      <c r="F52" s="290"/>
      <c r="G52" s="291"/>
      <c r="H52" s="290"/>
      <c r="I52" s="296"/>
      <c r="J52" s="296"/>
      <c r="K52" s="276"/>
      <c r="L52" s="276"/>
      <c r="M52" s="276"/>
      <c r="N52" s="276"/>
      <c r="O52" s="276"/>
      <c r="R52" s="276"/>
      <c r="S52" s="292"/>
    </row>
    <row r="53" spans="1:19" hidden="1">
      <c r="A53" s="276"/>
      <c r="B53" s="283"/>
      <c r="C53" s="276"/>
      <c r="D53" s="276"/>
      <c r="E53" s="276"/>
      <c r="F53" s="291"/>
      <c r="G53" s="291"/>
      <c r="H53" s="291"/>
      <c r="I53" s="276"/>
      <c r="J53" s="276"/>
      <c r="K53" s="276"/>
      <c r="L53" s="276"/>
      <c r="M53" s="276"/>
      <c r="N53" s="276"/>
      <c r="O53" s="276"/>
      <c r="R53" s="276"/>
      <c r="S53" s="292"/>
    </row>
    <row r="54" spans="1:19" hidden="1">
      <c r="A54" s="276"/>
      <c r="B54" s="283"/>
      <c r="C54" s="276"/>
      <c r="D54" s="276"/>
      <c r="E54" s="276"/>
      <c r="F54" s="290"/>
      <c r="G54" s="291"/>
      <c r="H54" s="290"/>
      <c r="I54" s="295"/>
      <c r="J54" s="295"/>
      <c r="K54" s="276"/>
      <c r="L54" s="276"/>
      <c r="M54" s="276"/>
      <c r="N54" s="276"/>
      <c r="O54" s="276"/>
      <c r="R54" s="276"/>
      <c r="S54" s="292"/>
    </row>
    <row r="55" spans="1:19" hidden="1">
      <c r="A55" s="276"/>
      <c r="B55" s="453"/>
      <c r="C55" s="276"/>
      <c r="D55" s="276"/>
      <c r="E55" s="276"/>
      <c r="F55" s="523"/>
      <c r="G55" s="291"/>
      <c r="H55" s="523"/>
      <c r="I55" s="291"/>
      <c r="J55" s="291"/>
      <c r="K55" s="276"/>
      <c r="L55" s="276"/>
      <c r="M55" s="276"/>
      <c r="N55" s="276"/>
      <c r="O55" s="276"/>
      <c r="R55" s="276"/>
      <c r="S55" s="292"/>
    </row>
    <row r="56" spans="1:19" hidden="1">
      <c r="A56" s="276"/>
      <c r="B56" s="453"/>
      <c r="C56" s="276"/>
      <c r="D56" s="276"/>
      <c r="E56" s="276"/>
      <c r="F56" s="454"/>
      <c r="G56" s="276"/>
      <c r="H56" s="454"/>
      <c r="I56" s="291"/>
      <c r="J56" s="291"/>
      <c r="K56" s="276"/>
      <c r="L56" s="276"/>
      <c r="M56" s="276"/>
      <c r="N56" s="276"/>
      <c r="O56" s="276"/>
      <c r="R56" s="276"/>
      <c r="S56" s="292"/>
    </row>
    <row r="57" spans="1:19" hidden="1">
      <c r="A57" s="276"/>
      <c r="B57" s="453"/>
      <c r="C57" s="276"/>
      <c r="D57" s="276"/>
      <c r="E57" s="276"/>
      <c r="F57" s="454"/>
      <c r="G57" s="276"/>
      <c r="H57" s="454"/>
      <c r="I57" s="291"/>
      <c r="J57" s="291"/>
      <c r="K57" s="276"/>
      <c r="L57" s="276"/>
      <c r="M57" s="276"/>
      <c r="N57" s="276"/>
      <c r="O57" s="276"/>
      <c r="R57" s="276"/>
      <c r="S57" s="292"/>
    </row>
    <row r="58" spans="1:19">
      <c r="A58" s="276" t="s">
        <v>186</v>
      </c>
      <c r="B58" s="276"/>
      <c r="C58" s="276"/>
      <c r="D58" s="276"/>
      <c r="E58" s="276"/>
      <c r="F58" s="276"/>
      <c r="G58" s="276"/>
      <c r="H58" s="276"/>
      <c r="I58" s="276"/>
      <c r="J58" s="276"/>
      <c r="K58" s="276"/>
      <c r="L58" s="276"/>
      <c r="M58" s="276"/>
      <c r="N58" s="276"/>
      <c r="O58" s="276"/>
      <c r="R58" s="276"/>
      <c r="S58" s="292"/>
    </row>
    <row r="59" spans="1:19">
      <c r="A59" s="276" t="str">
        <f>A2</f>
        <v>Rev. 4/2003</v>
      </c>
      <c r="B59" s="433">
        <f>B2</f>
        <v>40664</v>
      </c>
      <c r="C59" s="276"/>
      <c r="D59" s="276"/>
      <c r="E59" s="276"/>
      <c r="F59" s="276"/>
      <c r="G59" s="276"/>
      <c r="H59" s="276"/>
      <c r="I59" s="276"/>
      <c r="J59" s="276"/>
      <c r="K59" s="280"/>
      <c r="L59" s="281" t="s">
        <v>361</v>
      </c>
      <c r="M59" s="281"/>
      <c r="N59" s="282">
        <f>N4</f>
        <v>395</v>
      </c>
      <c r="O59" s="276"/>
      <c r="R59" s="276"/>
      <c r="S59" s="292"/>
    </row>
    <row r="60" spans="1:19">
      <c r="A60" s="278" t="s">
        <v>8</v>
      </c>
      <c r="B60" s="279"/>
      <c r="C60" s="279"/>
      <c r="D60" s="279"/>
      <c r="E60" s="279"/>
      <c r="F60" s="279"/>
      <c r="G60" s="279"/>
      <c r="H60" s="279"/>
      <c r="I60" s="279"/>
      <c r="J60" s="279"/>
      <c r="K60" s="279"/>
      <c r="L60" s="279"/>
      <c r="M60" s="279"/>
      <c r="N60" s="279"/>
      <c r="O60" s="276"/>
      <c r="R60" s="276"/>
      <c r="S60" s="292"/>
    </row>
    <row r="61" spans="1:19" ht="5.0999999999999996" customHeight="1">
      <c r="A61" s="276"/>
      <c r="B61" s="276"/>
      <c r="C61" s="276"/>
      <c r="D61" s="276"/>
      <c r="E61" s="276"/>
      <c r="F61" s="276"/>
      <c r="G61" s="276"/>
      <c r="H61" s="276"/>
      <c r="I61" s="276"/>
      <c r="J61" s="276"/>
      <c r="K61" s="276"/>
      <c r="L61" s="276"/>
      <c r="M61" s="276"/>
      <c r="N61" s="276"/>
      <c r="O61" s="276"/>
      <c r="R61" s="276"/>
      <c r="S61" s="292"/>
    </row>
    <row r="62" spans="1:19" ht="12" customHeight="1">
      <c r="A62" s="278" t="str">
        <f>A5</f>
        <v>2011-2012</v>
      </c>
      <c r="B62" s="279"/>
      <c r="C62" s="279"/>
      <c r="D62" s="279"/>
      <c r="E62" s="279"/>
      <c r="F62" s="279"/>
      <c r="G62" s="279"/>
      <c r="H62" s="279"/>
      <c r="I62" s="279"/>
      <c r="J62" s="279"/>
      <c r="K62" s="279"/>
      <c r="L62" s="279"/>
      <c r="M62" s="279"/>
      <c r="N62" s="279"/>
      <c r="O62" s="276"/>
      <c r="R62" s="276"/>
      <c r="S62" s="292"/>
    </row>
    <row r="63" spans="1:19" ht="12" customHeight="1">
      <c r="A63" s="278" t="s">
        <v>187</v>
      </c>
      <c r="B63" s="278"/>
      <c r="C63" s="279"/>
      <c r="D63" s="279"/>
      <c r="E63" s="279"/>
      <c r="F63" s="279"/>
      <c r="G63" s="279"/>
      <c r="H63" s="279"/>
      <c r="I63" s="279"/>
      <c r="J63" s="279"/>
      <c r="K63" s="279"/>
      <c r="L63" s="279"/>
      <c r="M63" s="279"/>
      <c r="N63" s="279"/>
      <c r="O63" s="276"/>
      <c r="R63" s="276"/>
      <c r="S63" s="292"/>
    </row>
    <row r="64" spans="1:19" ht="12" customHeight="1">
      <c r="A64" s="278" t="s">
        <v>190</v>
      </c>
      <c r="B64" s="278"/>
      <c r="C64" s="279"/>
      <c r="D64" s="279"/>
      <c r="E64" s="279"/>
      <c r="F64" s="279"/>
      <c r="G64" s="279"/>
      <c r="H64" s="279"/>
      <c r="I64" s="279"/>
      <c r="J64" s="279"/>
      <c r="K64" s="279"/>
      <c r="L64" s="279"/>
      <c r="M64" s="279"/>
      <c r="N64" s="279"/>
      <c r="O64" s="276"/>
      <c r="R64" s="276"/>
      <c r="S64" s="292"/>
    </row>
    <row r="65" spans="1:21" ht="12" customHeight="1">
      <c r="A65" s="278" t="s">
        <v>191</v>
      </c>
      <c r="B65" s="278"/>
      <c r="C65" s="279"/>
      <c r="D65" s="279"/>
      <c r="E65" s="279"/>
      <c r="F65" s="279"/>
      <c r="G65" s="279"/>
      <c r="H65" s="279"/>
      <c r="I65" s="279"/>
      <c r="J65" s="279"/>
      <c r="K65" s="279"/>
      <c r="L65" s="279"/>
      <c r="M65" s="279"/>
      <c r="N65" s="279"/>
      <c r="O65" s="276"/>
      <c r="R65" s="276"/>
      <c r="S65" s="292"/>
    </row>
    <row r="66" spans="1:21" ht="12" customHeight="1">
      <c r="A66" s="278" t="str">
        <f>"for January 1, "&amp;[2]OPEN!$S$5&amp;", to June 30, "&amp;[2]OPEN!$S$5</f>
        <v>for January 1, 2012, to June 30, 2012</v>
      </c>
      <c r="B66" s="278"/>
      <c r="C66" s="279"/>
      <c r="D66" s="279"/>
      <c r="E66" s="279"/>
      <c r="F66" s="279"/>
      <c r="G66" s="279"/>
      <c r="H66" s="279"/>
      <c r="I66" s="279"/>
      <c r="J66" s="279"/>
      <c r="K66" s="279"/>
      <c r="L66" s="279"/>
      <c r="M66" s="279"/>
      <c r="N66" s="279"/>
      <c r="O66" s="276"/>
      <c r="R66" s="276"/>
      <c r="S66" s="292"/>
    </row>
    <row r="67" spans="1:21" ht="5.0999999999999996" customHeight="1">
      <c r="A67" s="276"/>
      <c r="B67" s="276"/>
      <c r="C67" s="276"/>
      <c r="D67" s="276"/>
      <c r="E67" s="276"/>
      <c r="F67" s="276"/>
      <c r="G67" s="276"/>
      <c r="H67" s="276"/>
      <c r="I67" s="276"/>
      <c r="J67" s="276"/>
      <c r="K67" s="276"/>
      <c r="L67" s="276"/>
      <c r="M67" s="276"/>
      <c r="N67" s="276"/>
      <c r="O67" s="276"/>
      <c r="R67" s="276"/>
      <c r="S67" s="292"/>
    </row>
    <row r="68" spans="1:21" ht="12" customHeight="1">
      <c r="A68" s="279" t="s">
        <v>161</v>
      </c>
      <c r="B68" s="279"/>
      <c r="C68" s="279"/>
      <c r="D68" s="279"/>
      <c r="E68" s="279"/>
      <c r="F68" s="279"/>
      <c r="G68" s="279"/>
      <c r="H68" s="279"/>
      <c r="I68" s="279"/>
      <c r="J68" s="279"/>
      <c r="K68" s="279"/>
      <c r="L68" s="279"/>
      <c r="M68" s="279"/>
      <c r="N68" s="279"/>
      <c r="O68" s="276"/>
      <c r="R68" s="276"/>
      <c r="S68" s="292"/>
    </row>
    <row r="69" spans="1:21" ht="12" customHeight="1">
      <c r="A69" s="279" t="str">
        <f>"For New Levies Made in "&amp;[2]OPEN!$O$4&amp;" School Year Until March, "&amp;[2]OPEN!$S$5&amp;".  For new levies made in "&amp;[2]OPEN!$P$4</f>
        <v>For New Levies Made in 2010-2011 School Year Until March, 2012.  For new levies made in 2011-2012</v>
      </c>
      <c r="B69" s="279"/>
      <c r="C69" s="279"/>
      <c r="D69" s="279"/>
      <c r="E69" s="279"/>
      <c r="F69" s="279"/>
      <c r="G69" s="279"/>
      <c r="H69" s="279"/>
      <c r="I69" s="279"/>
      <c r="J69" s="279"/>
      <c r="K69" s="279"/>
      <c r="L69" s="279"/>
      <c r="M69" s="279"/>
      <c r="N69" s="279"/>
      <c r="O69" s="276"/>
      <c r="R69" s="276"/>
      <c r="S69" s="292"/>
    </row>
    <row r="70" spans="1:21" ht="12" customHeight="1">
      <c r="A70" s="279" t="str">
        <f>"revenues will not be received until March, "&amp;[2]OPEN!$U$5</f>
        <v>revenues will not be received until March, 2013</v>
      </c>
      <c r="B70" s="279"/>
      <c r="C70" s="279"/>
      <c r="D70" s="279"/>
      <c r="E70" s="279"/>
      <c r="F70" s="279"/>
      <c r="G70" s="279"/>
      <c r="H70" s="279"/>
      <c r="I70" s="279"/>
      <c r="J70" s="279"/>
      <c r="K70" s="279"/>
      <c r="L70" s="279"/>
      <c r="M70" s="279"/>
      <c r="N70" s="279"/>
      <c r="O70" s="276"/>
      <c r="R70" s="276"/>
      <c r="S70" s="292"/>
    </row>
    <row r="71" spans="1:21" ht="7.5" customHeight="1">
      <c r="A71" s="279"/>
      <c r="B71" s="279"/>
      <c r="C71" s="279"/>
      <c r="D71" s="279"/>
      <c r="E71" s="279"/>
      <c r="F71" s="279"/>
      <c r="G71" s="279"/>
      <c r="H71" s="279"/>
      <c r="I71" s="279"/>
      <c r="J71" s="279"/>
      <c r="K71" s="279"/>
      <c r="L71" s="279"/>
      <c r="M71" s="279"/>
      <c r="N71" s="279"/>
      <c r="O71" s="276"/>
      <c r="R71" s="276"/>
      <c r="S71" s="292"/>
    </row>
    <row r="72" spans="1:21">
      <c r="A72" s="284"/>
      <c r="B72" s="284"/>
      <c r="C72" s="284"/>
      <c r="D72" s="285">
        <v>1</v>
      </c>
      <c r="E72" s="286"/>
      <c r="F72" s="285">
        <v>2</v>
      </c>
      <c r="G72" s="286"/>
      <c r="H72" s="285">
        <v>3</v>
      </c>
      <c r="I72" s="285"/>
      <c r="J72" s="285">
        <v>4</v>
      </c>
      <c r="K72" s="286"/>
      <c r="L72" s="285">
        <v>5</v>
      </c>
      <c r="M72" s="286"/>
      <c r="N72" s="285">
        <v>6</v>
      </c>
      <c r="O72" s="276"/>
      <c r="P72" s="285">
        <v>7</v>
      </c>
      <c r="R72" s="647"/>
      <c r="S72" s="648"/>
    </row>
    <row r="73" spans="1:21">
      <c r="A73" s="284"/>
      <c r="B73" s="284"/>
      <c r="C73" s="284"/>
      <c r="D73" s="286" t="str">
        <f>[2]OPEN!$P$5&amp;" Taxes Levied"</f>
        <v>2010 Taxes Levied</v>
      </c>
      <c r="E73" s="286"/>
      <c r="F73" s="286" t="s">
        <v>162</v>
      </c>
      <c r="G73" s="286"/>
      <c r="H73" s="286" t="s">
        <v>163</v>
      </c>
      <c r="I73" s="286"/>
      <c r="J73" s="286" t="s">
        <v>162</v>
      </c>
      <c r="K73" s="286"/>
      <c r="L73" s="286" t="s">
        <v>164</v>
      </c>
      <c r="M73" s="286"/>
      <c r="N73" s="286" t="s">
        <v>14</v>
      </c>
      <c r="O73" s="276"/>
      <c r="P73" s="286"/>
      <c r="R73" s="649"/>
      <c r="S73" s="648"/>
    </row>
    <row r="74" spans="1:21">
      <c r="A74" s="284"/>
      <c r="B74" s="284"/>
      <c r="C74" s="284"/>
      <c r="D74" s="286" t="s">
        <v>15</v>
      </c>
      <c r="E74" s="286"/>
      <c r="F74" s="286" t="s">
        <v>16</v>
      </c>
      <c r="G74" s="286"/>
      <c r="H74" s="286" t="s">
        <v>17</v>
      </c>
      <c r="I74" s="286"/>
      <c r="J74" s="286" t="s">
        <v>18</v>
      </c>
      <c r="K74" s="286"/>
      <c r="L74" s="286" t="s">
        <v>17</v>
      </c>
      <c r="M74" s="286"/>
      <c r="N74" s="286" t="s">
        <v>19</v>
      </c>
      <c r="O74" s="276"/>
      <c r="P74" s="286" t="str">
        <f>P16</f>
        <v>16/20M Tax (d)</v>
      </c>
      <c r="R74" s="649"/>
      <c r="S74" s="648"/>
      <c r="U74" s="277" t="s">
        <v>194</v>
      </c>
    </row>
    <row r="75" spans="1:21" ht="17.100000000000001" customHeight="1">
      <c r="A75" s="287">
        <v>1</v>
      </c>
      <c r="B75" s="276" t="s">
        <v>169</v>
      </c>
      <c r="C75" s="276"/>
      <c r="D75" s="288">
        <f>'F110'!$E$17*0</f>
        <v>0</v>
      </c>
      <c r="E75" s="276"/>
      <c r="F75" s="289">
        <f>0</f>
        <v>0</v>
      </c>
      <c r="G75" s="276"/>
      <c r="H75" s="449" t="s">
        <v>170</v>
      </c>
      <c r="I75" s="290"/>
      <c r="J75" s="289">
        <f>IF(U75=0,0,ROUND(U75/U94,4))</f>
        <v>0.4153</v>
      </c>
      <c r="K75" s="276"/>
      <c r="L75" s="449" t="s">
        <v>195</v>
      </c>
      <c r="M75" s="276"/>
      <c r="N75" s="288">
        <f t="shared" ref="N75:N93" si="5">$N$94*J75</f>
        <v>0</v>
      </c>
      <c r="O75" s="276"/>
      <c r="P75" s="477" t="s">
        <v>170</v>
      </c>
      <c r="R75" s="290"/>
      <c r="S75" s="648"/>
      <c r="U75" s="290">
        <f>'F110'!$E$17</f>
        <v>367900</v>
      </c>
    </row>
    <row r="76" spans="1:21" ht="17.100000000000001" customHeight="1">
      <c r="A76" s="287">
        <v>2</v>
      </c>
      <c r="B76" s="276" t="s">
        <v>172</v>
      </c>
      <c r="C76" s="276"/>
      <c r="D76" s="288">
        <f>'F110'!$G$17</f>
        <v>456056</v>
      </c>
      <c r="E76" s="276"/>
      <c r="F76" s="289">
        <f t="shared" ref="F76:F93" si="6">IF(D76=0,0,ROUND(D76/$D$94,4))</f>
        <v>0.88060000000000005</v>
      </c>
      <c r="G76" s="276"/>
      <c r="H76" s="288">
        <f t="shared" ref="H76:H93" si="7">$H$94*F76</f>
        <v>16011</v>
      </c>
      <c r="I76" s="290"/>
      <c r="J76" s="289">
        <f>IF(U76=0,0,ROUND(U76/U94,4))</f>
        <v>0.51490000000000002</v>
      </c>
      <c r="K76" s="276"/>
      <c r="L76" s="288">
        <f t="shared" ref="L76:L93" si="8">$L$94*F76</f>
        <v>253</v>
      </c>
      <c r="M76" s="276"/>
      <c r="N76" s="288">
        <f t="shared" si="5"/>
        <v>0</v>
      </c>
      <c r="O76" s="276"/>
      <c r="P76" s="288">
        <f t="shared" ref="P76:P93" si="9">$P$94*F76</f>
        <v>2190</v>
      </c>
      <c r="R76" s="290"/>
      <c r="S76" s="648"/>
      <c r="U76" s="290">
        <f>'F110'!$G$17</f>
        <v>456056</v>
      </c>
    </row>
    <row r="77" spans="1:21" ht="17.100000000000001" customHeight="1">
      <c r="A77" s="287">
        <v>3</v>
      </c>
      <c r="B77" s="276" t="s">
        <v>173</v>
      </c>
      <c r="C77" s="276"/>
      <c r="D77" s="288">
        <f>'F110'!$E$65</f>
        <v>0</v>
      </c>
      <c r="E77" s="276"/>
      <c r="F77" s="289">
        <f t="shared" si="6"/>
        <v>0</v>
      </c>
      <c r="G77" s="276"/>
      <c r="H77" s="288">
        <f t="shared" si="7"/>
        <v>0</v>
      </c>
      <c r="I77" s="290"/>
      <c r="J77" s="289">
        <f>IF(U77=0,0,ROUND(U77/U94,4))</f>
        <v>0</v>
      </c>
      <c r="K77" s="276"/>
      <c r="L77" s="288">
        <f t="shared" si="8"/>
        <v>0</v>
      </c>
      <c r="M77" s="276"/>
      <c r="N77" s="288">
        <f t="shared" si="5"/>
        <v>0</v>
      </c>
      <c r="O77" s="276"/>
      <c r="P77" s="288">
        <f t="shared" si="9"/>
        <v>0</v>
      </c>
      <c r="R77" s="290"/>
      <c r="S77" s="648"/>
      <c r="U77" s="290">
        <f>'F110'!$E$65</f>
        <v>0</v>
      </c>
    </row>
    <row r="78" spans="1:21" ht="17.100000000000001" customHeight="1">
      <c r="A78" s="287">
        <v>4</v>
      </c>
      <c r="B78" s="276" t="s">
        <v>174</v>
      </c>
      <c r="C78" s="276"/>
      <c r="D78" s="288">
        <f>'F110'!$I$17</f>
        <v>61839</v>
      </c>
      <c r="E78" s="276"/>
      <c r="F78" s="289">
        <f t="shared" si="6"/>
        <v>0.11940000000000001</v>
      </c>
      <c r="G78" s="276"/>
      <c r="H78" s="288">
        <f t="shared" si="7"/>
        <v>2171</v>
      </c>
      <c r="I78" s="290"/>
      <c r="J78" s="289">
        <f>IF(U78=0,0,ROUND(U78/U94,4))</f>
        <v>6.9800000000000001E-2</v>
      </c>
      <c r="K78" s="276"/>
      <c r="L78" s="288">
        <f t="shared" si="8"/>
        <v>34</v>
      </c>
      <c r="M78" s="276"/>
      <c r="N78" s="288">
        <f t="shared" si="5"/>
        <v>0</v>
      </c>
      <c r="O78" s="276"/>
      <c r="P78" s="288">
        <f t="shared" si="9"/>
        <v>297</v>
      </c>
      <c r="R78" s="290"/>
      <c r="S78" s="648"/>
      <c r="U78" s="290">
        <f>'F110'!$I$17</f>
        <v>61839</v>
      </c>
    </row>
    <row r="79" spans="1:21" ht="17.100000000000001" customHeight="1">
      <c r="A79" s="287">
        <v>5</v>
      </c>
      <c r="B79" s="276" t="s">
        <v>175</v>
      </c>
      <c r="C79" s="276"/>
      <c r="D79" s="288">
        <f>'F110'!$G$114</f>
        <v>0</v>
      </c>
      <c r="E79" s="276"/>
      <c r="F79" s="289">
        <f t="shared" si="6"/>
        <v>0</v>
      </c>
      <c r="G79" s="276"/>
      <c r="H79" s="288">
        <f t="shared" si="7"/>
        <v>0</v>
      </c>
      <c r="I79" s="290"/>
      <c r="J79" s="289">
        <f>IF(U79=0,0,ROUND(U79/U94,4))</f>
        <v>0</v>
      </c>
      <c r="K79" s="276"/>
      <c r="L79" s="288">
        <f t="shared" si="8"/>
        <v>0</v>
      </c>
      <c r="M79" s="276"/>
      <c r="N79" s="288">
        <f t="shared" si="5"/>
        <v>0</v>
      </c>
      <c r="O79" s="276"/>
      <c r="P79" s="288">
        <f t="shared" si="9"/>
        <v>0</v>
      </c>
      <c r="R79" s="290"/>
      <c r="S79" s="648"/>
      <c r="U79" s="290">
        <f>'F110'!$G$114</f>
        <v>0</v>
      </c>
    </row>
    <row r="80" spans="1:21" ht="17.100000000000001" customHeight="1">
      <c r="A80" s="287">
        <v>6</v>
      </c>
      <c r="B80" s="276" t="str">
        <f>B22</f>
        <v>Bond and Interest #1</v>
      </c>
      <c r="C80" s="276"/>
      <c r="D80" s="288">
        <f>'F110'!$K$17</f>
        <v>0</v>
      </c>
      <c r="E80" s="276"/>
      <c r="F80" s="289">
        <f t="shared" si="6"/>
        <v>0</v>
      </c>
      <c r="G80" s="276"/>
      <c r="H80" s="288">
        <f t="shared" si="7"/>
        <v>0</v>
      </c>
      <c r="I80" s="290"/>
      <c r="J80" s="289">
        <f>IF(U80=0,0,ROUND(U80/U94,4))</f>
        <v>0</v>
      </c>
      <c r="K80" s="276"/>
      <c r="L80" s="288">
        <f t="shared" si="8"/>
        <v>0</v>
      </c>
      <c r="M80" s="276"/>
      <c r="N80" s="288">
        <f t="shared" si="5"/>
        <v>0</v>
      </c>
      <c r="O80" s="276"/>
      <c r="P80" s="288">
        <f t="shared" si="9"/>
        <v>0</v>
      </c>
      <c r="R80" s="290"/>
      <c r="S80" s="648"/>
      <c r="U80" s="290">
        <f>'F110'!$K$17</f>
        <v>0</v>
      </c>
    </row>
    <row r="81" spans="1:21" ht="17.100000000000001" customHeight="1">
      <c r="A81" s="287">
        <v>7</v>
      </c>
      <c r="B81" s="276" t="str">
        <f>B23</f>
        <v>Bond and Interest #2</v>
      </c>
      <c r="C81" s="276"/>
      <c r="D81" s="288">
        <f>'F110'!$K$65</f>
        <v>0</v>
      </c>
      <c r="E81" s="276"/>
      <c r="F81" s="289">
        <f t="shared" si="6"/>
        <v>0</v>
      </c>
      <c r="G81" s="276"/>
      <c r="H81" s="288">
        <f t="shared" si="7"/>
        <v>0</v>
      </c>
      <c r="I81" s="290"/>
      <c r="J81" s="289">
        <f>IF(U81=0,0,ROUND(U81/U94,4))</f>
        <v>0</v>
      </c>
      <c r="K81" s="276"/>
      <c r="L81" s="288">
        <f t="shared" si="8"/>
        <v>0</v>
      </c>
      <c r="M81" s="276"/>
      <c r="N81" s="288">
        <f t="shared" si="5"/>
        <v>0</v>
      </c>
      <c r="O81" s="276"/>
      <c r="P81" s="288">
        <f t="shared" si="9"/>
        <v>0</v>
      </c>
      <c r="R81" s="290"/>
      <c r="S81" s="648"/>
      <c r="U81" s="290">
        <f>'F110'!$K$65</f>
        <v>0</v>
      </c>
    </row>
    <row r="82" spans="1:21" ht="17.100000000000001" customHeight="1">
      <c r="A82" s="287">
        <v>8</v>
      </c>
      <c r="B82" s="276" t="s">
        <v>176</v>
      </c>
      <c r="C82" s="276"/>
      <c r="D82" s="288">
        <f>'F110'!$I$114</f>
        <v>0</v>
      </c>
      <c r="E82" s="276"/>
      <c r="F82" s="289">
        <f t="shared" si="6"/>
        <v>0</v>
      </c>
      <c r="G82" s="276"/>
      <c r="H82" s="288">
        <f t="shared" si="7"/>
        <v>0</v>
      </c>
      <c r="I82" s="290"/>
      <c r="J82" s="289">
        <f>IF(U82=0,0,ROUND(U82/U94,4))</f>
        <v>0</v>
      </c>
      <c r="K82" s="276"/>
      <c r="L82" s="288">
        <f t="shared" si="8"/>
        <v>0</v>
      </c>
      <c r="M82" s="276"/>
      <c r="N82" s="288">
        <f t="shared" si="5"/>
        <v>0</v>
      </c>
      <c r="O82" s="276"/>
      <c r="P82" s="288">
        <f t="shared" si="9"/>
        <v>0</v>
      </c>
      <c r="R82" s="290"/>
      <c r="S82" s="648"/>
      <c r="U82" s="290">
        <f>'F110'!$I$114</f>
        <v>0</v>
      </c>
    </row>
    <row r="83" spans="1:21" ht="17.100000000000001" customHeight="1">
      <c r="A83" s="287">
        <v>9</v>
      </c>
      <c r="B83" s="276" t="str">
        <f>B25</f>
        <v>Recreation Commission</v>
      </c>
      <c r="C83" s="276"/>
      <c r="D83" s="288">
        <f>'F110'!$M$17</f>
        <v>0</v>
      </c>
      <c r="E83" s="276"/>
      <c r="F83" s="289">
        <f t="shared" si="6"/>
        <v>0</v>
      </c>
      <c r="G83" s="276"/>
      <c r="H83" s="288">
        <f t="shared" si="7"/>
        <v>0</v>
      </c>
      <c r="I83" s="290"/>
      <c r="J83" s="289">
        <f>IF(U83=0,0,ROUND(U83/U94,4))</f>
        <v>0</v>
      </c>
      <c r="K83" s="276"/>
      <c r="L83" s="288">
        <f t="shared" si="8"/>
        <v>0</v>
      </c>
      <c r="M83" s="276"/>
      <c r="N83" s="288">
        <f t="shared" si="5"/>
        <v>0</v>
      </c>
      <c r="O83" s="276"/>
      <c r="P83" s="288">
        <f t="shared" si="9"/>
        <v>0</v>
      </c>
      <c r="R83" s="290"/>
      <c r="S83" s="648"/>
      <c r="U83" s="290">
        <f>'F110'!$M$17</f>
        <v>0</v>
      </c>
    </row>
    <row r="84" spans="1:21" ht="17.100000000000001" customHeight="1">
      <c r="A84" s="287">
        <v>10</v>
      </c>
      <c r="B84" s="276" t="str">
        <f>B26</f>
        <v>Rec Comm Employee Bnfts</v>
      </c>
      <c r="C84" s="276"/>
      <c r="D84" s="288">
        <f>'F110'!$G$156</f>
        <v>0</v>
      </c>
      <c r="E84" s="276"/>
      <c r="F84" s="289">
        <f t="shared" si="6"/>
        <v>0</v>
      </c>
      <c r="G84" s="276"/>
      <c r="H84" s="288">
        <f t="shared" si="7"/>
        <v>0</v>
      </c>
      <c r="I84" s="290"/>
      <c r="J84" s="289">
        <f>IF(U84=0,0,ROUND(U84/U94,4))</f>
        <v>0</v>
      </c>
      <c r="K84" s="276"/>
      <c r="L84" s="288">
        <f t="shared" si="8"/>
        <v>0</v>
      </c>
      <c r="M84" s="276"/>
      <c r="N84" s="288">
        <f t="shared" si="5"/>
        <v>0</v>
      </c>
      <c r="O84" s="276"/>
      <c r="P84" s="288">
        <f t="shared" si="9"/>
        <v>0</v>
      </c>
      <c r="R84" s="290"/>
      <c r="S84" s="648"/>
      <c r="U84" s="290">
        <f>'F110'!$G$156</f>
        <v>0</v>
      </c>
    </row>
    <row r="85" spans="1:21" ht="17.100000000000001" customHeight="1">
      <c r="A85" s="287">
        <v>11</v>
      </c>
      <c r="B85" s="291" t="s">
        <v>31</v>
      </c>
      <c r="C85" s="291"/>
      <c r="D85" s="288">
        <f>'F110'!$E$114</f>
        <v>0</v>
      </c>
      <c r="E85" s="276"/>
      <c r="F85" s="289">
        <f t="shared" si="6"/>
        <v>0</v>
      </c>
      <c r="G85" s="276"/>
      <c r="H85" s="288">
        <f t="shared" si="7"/>
        <v>0</v>
      </c>
      <c r="I85" s="290"/>
      <c r="J85" s="289">
        <f>IF(U85=0,0,ROUND(U85/U94,4))</f>
        <v>0</v>
      </c>
      <c r="K85" s="276"/>
      <c r="L85" s="288">
        <f t="shared" si="8"/>
        <v>0</v>
      </c>
      <c r="M85" s="276"/>
      <c r="N85" s="288">
        <f t="shared" si="5"/>
        <v>0</v>
      </c>
      <c r="O85" s="276"/>
      <c r="P85" s="288">
        <f t="shared" si="9"/>
        <v>0</v>
      </c>
      <c r="R85" s="290"/>
      <c r="S85" s="648"/>
      <c r="U85" s="290">
        <f>'F110'!$E$114</f>
        <v>0</v>
      </c>
    </row>
    <row r="86" spans="1:21" ht="17.100000000000001" customHeight="1">
      <c r="A86" s="287">
        <v>13</v>
      </c>
      <c r="B86" s="417" t="s">
        <v>272</v>
      </c>
      <c r="C86" s="276"/>
      <c r="D86" s="420">
        <f>'F110'!$G$65</f>
        <v>0</v>
      </c>
      <c r="E86" s="276"/>
      <c r="F86" s="289">
        <f t="shared" si="6"/>
        <v>0</v>
      </c>
      <c r="G86" s="276"/>
      <c r="H86" s="288">
        <f t="shared" si="7"/>
        <v>0</v>
      </c>
      <c r="I86" s="290"/>
      <c r="J86" s="289">
        <f>IF(U86=0,0,ROUND(U86/U94,4))</f>
        <v>0</v>
      </c>
      <c r="K86" s="276"/>
      <c r="L86" s="288">
        <f t="shared" si="8"/>
        <v>0</v>
      </c>
      <c r="M86" s="276"/>
      <c r="N86" s="288">
        <f t="shared" si="5"/>
        <v>0</v>
      </c>
      <c r="O86" s="276"/>
      <c r="P86" s="288">
        <f t="shared" si="9"/>
        <v>0</v>
      </c>
      <c r="R86" s="290"/>
      <c r="S86" s="648"/>
      <c r="U86" s="290">
        <f>'F110'!$G$65</f>
        <v>0</v>
      </c>
    </row>
    <row r="87" spans="1:21" ht="17.100000000000001" customHeight="1">
      <c r="A87" s="287">
        <v>14</v>
      </c>
      <c r="B87" s="276" t="s">
        <v>449</v>
      </c>
      <c r="C87" s="276"/>
      <c r="D87" s="420">
        <f>'F110'!$I$65</f>
        <v>0</v>
      </c>
      <c r="E87" s="276"/>
      <c r="F87" s="289">
        <f t="shared" si="6"/>
        <v>0</v>
      </c>
      <c r="G87" s="276"/>
      <c r="H87" s="288">
        <f t="shared" si="7"/>
        <v>0</v>
      </c>
      <c r="I87" s="290"/>
      <c r="J87" s="289">
        <f>IF(U87=0,0,ROUND(U87/U94,4))</f>
        <v>0</v>
      </c>
      <c r="K87" s="276"/>
      <c r="L87" s="288">
        <f t="shared" si="8"/>
        <v>0</v>
      </c>
      <c r="M87" s="276"/>
      <c r="N87" s="288">
        <f t="shared" si="5"/>
        <v>0</v>
      </c>
      <c r="O87" s="276"/>
      <c r="P87" s="288">
        <f t="shared" si="9"/>
        <v>0</v>
      </c>
      <c r="R87" s="290"/>
      <c r="S87" s="648"/>
      <c r="U87" s="290">
        <f>'F110'!$I$65</f>
        <v>0</v>
      </c>
    </row>
    <row r="88" spans="1:21" ht="17.100000000000001" customHeight="1">
      <c r="A88" s="287">
        <v>15</v>
      </c>
      <c r="B88" s="276" t="s">
        <v>32</v>
      </c>
      <c r="C88" s="276"/>
      <c r="D88" s="288">
        <f>'F110'!$K$114</f>
        <v>0</v>
      </c>
      <c r="E88" s="276"/>
      <c r="F88" s="289">
        <f t="shared" si="6"/>
        <v>0</v>
      </c>
      <c r="G88" s="276"/>
      <c r="H88" s="288">
        <f t="shared" si="7"/>
        <v>0</v>
      </c>
      <c r="I88" s="290"/>
      <c r="J88" s="289">
        <f>IF(U88=0,0,ROUND(U88/U94,4))</f>
        <v>0</v>
      </c>
      <c r="K88" s="276"/>
      <c r="L88" s="288">
        <f t="shared" si="8"/>
        <v>0</v>
      </c>
      <c r="M88" s="276"/>
      <c r="N88" s="288">
        <f t="shared" si="5"/>
        <v>0</v>
      </c>
      <c r="O88" s="276"/>
      <c r="P88" s="288">
        <f t="shared" si="9"/>
        <v>0</v>
      </c>
      <c r="R88" s="290"/>
      <c r="S88" s="648"/>
      <c r="U88" s="290">
        <f>'F110'!$K$114</f>
        <v>0</v>
      </c>
    </row>
    <row r="89" spans="1:21" ht="17.100000000000001" customHeight="1">
      <c r="A89" s="287">
        <v>16</v>
      </c>
      <c r="B89" s="276" t="s">
        <v>33</v>
      </c>
      <c r="C89" s="276"/>
      <c r="D89" s="288">
        <f>'F110'!$I$156</f>
        <v>0</v>
      </c>
      <c r="E89" s="276"/>
      <c r="F89" s="289">
        <f t="shared" si="6"/>
        <v>0</v>
      </c>
      <c r="G89" s="276"/>
      <c r="H89" s="288">
        <f t="shared" si="7"/>
        <v>0</v>
      </c>
      <c r="I89" s="290"/>
      <c r="J89" s="289">
        <f>IF(U89=0,0,ROUND(U89/U94,4))</f>
        <v>0</v>
      </c>
      <c r="K89" s="276"/>
      <c r="L89" s="288">
        <f t="shared" si="8"/>
        <v>0</v>
      </c>
      <c r="M89" s="276"/>
      <c r="N89" s="288">
        <f t="shared" si="5"/>
        <v>0</v>
      </c>
      <c r="O89" s="276"/>
      <c r="P89" s="288">
        <f t="shared" si="9"/>
        <v>0</v>
      </c>
      <c r="R89" s="290"/>
      <c r="S89" s="648"/>
      <c r="U89" s="290">
        <f>'F110'!$I$156</f>
        <v>0</v>
      </c>
    </row>
    <row r="90" spans="1:21" ht="17.100000000000001" customHeight="1">
      <c r="A90" s="287">
        <v>17</v>
      </c>
      <c r="B90" s="276" t="s">
        <v>34</v>
      </c>
      <c r="C90" s="276"/>
      <c r="D90" s="288">
        <f>'F110'!$M$114</f>
        <v>0</v>
      </c>
      <c r="E90" s="276"/>
      <c r="F90" s="289">
        <f t="shared" si="6"/>
        <v>0</v>
      </c>
      <c r="G90" s="276"/>
      <c r="H90" s="288">
        <f t="shared" si="7"/>
        <v>0</v>
      </c>
      <c r="I90" s="290"/>
      <c r="J90" s="289">
        <f>IF(U90=0,0,ROUND(U90/U94,4))</f>
        <v>0</v>
      </c>
      <c r="K90" s="276"/>
      <c r="L90" s="288">
        <f t="shared" si="8"/>
        <v>0</v>
      </c>
      <c r="M90" s="276"/>
      <c r="N90" s="288">
        <f t="shared" si="5"/>
        <v>0</v>
      </c>
      <c r="O90" s="276"/>
      <c r="P90" s="288">
        <f t="shared" si="9"/>
        <v>0</v>
      </c>
      <c r="R90" s="290"/>
      <c r="S90" s="648"/>
      <c r="U90" s="290">
        <f>'F110'!$M$114</f>
        <v>0</v>
      </c>
    </row>
    <row r="91" spans="1:21" ht="17.100000000000001" customHeight="1">
      <c r="A91" s="287">
        <v>18</v>
      </c>
      <c r="B91" s="276" t="s">
        <v>196</v>
      </c>
      <c r="C91" s="276"/>
      <c r="D91" s="288">
        <f>'F110'!$K$156</f>
        <v>0</v>
      </c>
      <c r="E91" s="276"/>
      <c r="F91" s="289">
        <f t="shared" si="6"/>
        <v>0</v>
      </c>
      <c r="G91" s="276"/>
      <c r="H91" s="288">
        <f t="shared" si="7"/>
        <v>0</v>
      </c>
      <c r="I91" s="290"/>
      <c r="J91" s="289">
        <f>IF(U91=0,0,ROUND(U91/U94,4))</f>
        <v>0</v>
      </c>
      <c r="K91" s="276"/>
      <c r="L91" s="288">
        <f t="shared" si="8"/>
        <v>0</v>
      </c>
      <c r="M91" s="276"/>
      <c r="N91" s="288">
        <f t="shared" si="5"/>
        <v>0</v>
      </c>
      <c r="O91" s="276"/>
      <c r="P91" s="288">
        <f t="shared" si="9"/>
        <v>0</v>
      </c>
      <c r="R91" s="290"/>
      <c r="S91" s="648"/>
      <c r="U91" s="290">
        <f>'F110'!$K$156</f>
        <v>0</v>
      </c>
    </row>
    <row r="92" spans="1:21" ht="17.100000000000001" customHeight="1">
      <c r="A92" s="287">
        <v>19</v>
      </c>
      <c r="B92" s="276" t="s">
        <v>189</v>
      </c>
      <c r="C92" s="276"/>
      <c r="D92" s="288">
        <f>'F110'!E156</f>
        <v>0</v>
      </c>
      <c r="E92" s="276"/>
      <c r="F92" s="289">
        <f t="shared" si="6"/>
        <v>0</v>
      </c>
      <c r="G92" s="276"/>
      <c r="H92" s="288">
        <f t="shared" si="7"/>
        <v>0</v>
      </c>
      <c r="I92" s="290"/>
      <c r="J92" s="289">
        <f>IF(U92=0,0,ROUND(U92/U94,4))</f>
        <v>0</v>
      </c>
      <c r="K92" s="276"/>
      <c r="L92" s="288">
        <f t="shared" si="8"/>
        <v>0</v>
      </c>
      <c r="M92" s="276"/>
      <c r="N92" s="288">
        <f t="shared" si="5"/>
        <v>0</v>
      </c>
      <c r="O92" s="276"/>
      <c r="P92" s="288">
        <f t="shared" si="9"/>
        <v>0</v>
      </c>
      <c r="R92" s="290"/>
      <c r="S92" s="648"/>
      <c r="U92" s="290">
        <f>'F110'!E156</f>
        <v>0</v>
      </c>
    </row>
    <row r="93" spans="1:21" ht="17.100000000000001" customHeight="1">
      <c r="A93" s="287">
        <v>20</v>
      </c>
      <c r="B93" s="276" t="s">
        <v>448</v>
      </c>
      <c r="C93" s="276"/>
      <c r="D93" s="288">
        <f>'F110'!M156</f>
        <v>0</v>
      </c>
      <c r="E93" s="276"/>
      <c r="F93" s="289">
        <f t="shared" si="6"/>
        <v>0</v>
      </c>
      <c r="G93" s="276"/>
      <c r="H93" s="288">
        <f t="shared" si="7"/>
        <v>0</v>
      </c>
      <c r="I93" s="290"/>
      <c r="J93" s="289">
        <f>IF(U93=0,0,ROUND(U93/U94,4))</f>
        <v>0</v>
      </c>
      <c r="K93" s="276"/>
      <c r="L93" s="288">
        <f t="shared" si="8"/>
        <v>0</v>
      </c>
      <c r="M93" s="276"/>
      <c r="N93" s="288">
        <f t="shared" si="5"/>
        <v>0</v>
      </c>
      <c r="O93" s="276"/>
      <c r="P93" s="288">
        <f t="shared" si="9"/>
        <v>0</v>
      </c>
      <c r="R93" s="290"/>
      <c r="S93" s="648"/>
      <c r="U93" s="288">
        <f>'F110'!M156</f>
        <v>0</v>
      </c>
    </row>
    <row r="94" spans="1:21" ht="17.100000000000001" customHeight="1">
      <c r="A94" s="287">
        <v>21</v>
      </c>
      <c r="B94" s="276" t="s">
        <v>293</v>
      </c>
      <c r="C94" s="276"/>
      <c r="D94" s="288">
        <f>SUM(D75:D93)</f>
        <v>517895</v>
      </c>
      <c r="E94" s="276"/>
      <c r="F94" s="289">
        <f>ROUND(SUM(F75:F93),2)</f>
        <v>1</v>
      </c>
      <c r="G94" s="276" t="s">
        <v>36</v>
      </c>
      <c r="H94" s="288">
        <f>'F110'!$B$91*0.33</f>
        <v>18182</v>
      </c>
      <c r="I94" s="276" t="s">
        <v>37</v>
      </c>
      <c r="J94" s="289">
        <f>ROUND(SUM(J75:J93),2)</f>
        <v>1</v>
      </c>
      <c r="K94" s="276" t="s">
        <v>36</v>
      </c>
      <c r="L94" s="288">
        <f>'F110'!$G$91*0.33</f>
        <v>287</v>
      </c>
      <c r="M94" s="276" t="s">
        <v>37</v>
      </c>
      <c r="N94" s="288">
        <f>'F110'!$K$91*0.33</f>
        <v>0</v>
      </c>
      <c r="O94" s="276" t="s">
        <v>37</v>
      </c>
      <c r="P94" s="288">
        <f>'F110'!$M$96*0.33</f>
        <v>2487</v>
      </c>
      <c r="Q94" s="452" t="s">
        <v>37</v>
      </c>
      <c r="R94" s="290"/>
      <c r="S94" s="291"/>
      <c r="U94" s="528">
        <f>SUM(U75:U93)</f>
        <v>885795</v>
      </c>
    </row>
    <row r="95" spans="1:21">
      <c r="A95" s="276"/>
      <c r="B95" s="276"/>
      <c r="C95" s="276"/>
      <c r="D95" s="276"/>
      <c r="E95" s="276"/>
      <c r="F95" s="276"/>
      <c r="G95" s="276"/>
      <c r="H95" s="276"/>
      <c r="I95" s="276"/>
      <c r="J95" s="276"/>
      <c r="K95" s="276"/>
      <c r="L95" s="276"/>
      <c r="M95" s="276"/>
      <c r="N95" s="276"/>
      <c r="O95" s="276"/>
      <c r="R95" s="276"/>
      <c r="S95" s="292"/>
    </row>
    <row r="96" spans="1:21">
      <c r="A96" s="276" t="s">
        <v>38</v>
      </c>
      <c r="B96" s="276" t="str">
        <f>"Do not include taxes levied for any funds in which a budget will not be made in "&amp;[2]OPEN!$P$4&amp;"."</f>
        <v>Do not include taxes levied for any funds in which a budget will not be made in 2011-2012.</v>
      </c>
      <c r="C96" s="276"/>
      <c r="D96" s="276"/>
      <c r="E96" s="276"/>
      <c r="F96" s="276"/>
      <c r="G96" s="276"/>
      <c r="H96" s="276"/>
      <c r="I96" s="276"/>
      <c r="J96" s="276"/>
      <c r="K96" s="276"/>
      <c r="L96" s="276"/>
      <c r="M96" s="276"/>
      <c r="N96" s="276"/>
      <c r="O96" s="276"/>
    </row>
    <row r="97" spans="1:15">
      <c r="A97" s="276" t="s">
        <v>39</v>
      </c>
      <c r="B97" s="276" t="s">
        <v>42</v>
      </c>
      <c r="C97" s="276"/>
      <c r="D97" s="276"/>
      <c r="E97" s="276"/>
      <c r="F97" s="276"/>
      <c r="G97" s="276"/>
      <c r="H97" s="276"/>
      <c r="I97" s="276"/>
      <c r="J97" s="276"/>
      <c r="K97" s="276"/>
      <c r="L97" s="276"/>
      <c r="M97" s="276"/>
      <c r="N97" s="276"/>
      <c r="O97" s="276"/>
    </row>
    <row r="98" spans="1:15">
      <c r="A98" s="276" t="s">
        <v>36</v>
      </c>
      <c r="B98" s="276" t="s">
        <v>43</v>
      </c>
      <c r="C98" s="276"/>
      <c r="D98" s="276"/>
      <c r="E98" s="276"/>
      <c r="F98" s="276"/>
      <c r="G98" s="276"/>
      <c r="H98" s="276"/>
      <c r="I98" s="276"/>
      <c r="J98" s="276"/>
      <c r="K98" s="276"/>
      <c r="L98" s="276"/>
      <c r="M98" s="276"/>
      <c r="N98" s="276"/>
      <c r="O98" s="276"/>
    </row>
    <row r="99" spans="1:15">
      <c r="A99" s="276" t="s">
        <v>44</v>
      </c>
      <c r="B99" s="276" t="s">
        <v>446</v>
      </c>
      <c r="C99" s="276"/>
      <c r="D99" s="276"/>
      <c r="E99" s="276"/>
      <c r="F99" s="276"/>
      <c r="G99" s="276"/>
      <c r="H99" s="276"/>
      <c r="I99" s="276"/>
      <c r="J99" s="276"/>
      <c r="K99" s="276"/>
      <c r="L99" s="276"/>
      <c r="M99" s="276"/>
      <c r="N99" s="276"/>
      <c r="O99" s="276"/>
    </row>
    <row r="100" spans="1:15">
      <c r="A100" s="276" t="s">
        <v>37</v>
      </c>
      <c r="B100" s="417" t="s">
        <v>581</v>
      </c>
      <c r="C100" s="276"/>
      <c r="D100" s="276"/>
      <c r="E100" s="276"/>
      <c r="F100" s="276"/>
      <c r="G100" s="276"/>
      <c r="H100" s="276"/>
      <c r="I100" s="276"/>
      <c r="J100" s="276"/>
      <c r="K100" s="276"/>
      <c r="L100" s="276"/>
      <c r="M100" s="276"/>
      <c r="N100" s="276"/>
      <c r="O100" s="276"/>
    </row>
    <row r="101" spans="1:15">
      <c r="A101" s="276" t="s">
        <v>45</v>
      </c>
      <c r="B101" s="276" t="str">
        <f>"Includes the total "&amp;[2]OPEN!$P$5&amp;" General Fund taxes levied."</f>
        <v>Includes the total 2010 General Fund taxes levied.</v>
      </c>
      <c r="C101" s="276"/>
      <c r="D101" s="276"/>
      <c r="E101" s="276"/>
      <c r="F101" s="276"/>
      <c r="G101" s="276"/>
      <c r="H101" s="276"/>
      <c r="I101" s="276"/>
      <c r="J101" s="276"/>
      <c r="K101" s="276"/>
      <c r="L101" s="276"/>
      <c r="M101" s="276"/>
      <c r="N101" s="276"/>
      <c r="O101" s="276"/>
    </row>
    <row r="102" spans="1:15">
      <c r="A102" s="276" t="s">
        <v>46</v>
      </c>
      <c r="B102" s="276" t="s">
        <v>447</v>
      </c>
      <c r="C102" s="276"/>
      <c r="D102" s="276"/>
      <c r="E102" s="276"/>
      <c r="F102" s="276"/>
      <c r="G102" s="276"/>
      <c r="H102" s="276"/>
      <c r="I102" s="276"/>
      <c r="J102" s="276"/>
      <c r="K102" s="276"/>
      <c r="L102" s="276"/>
      <c r="M102" s="276"/>
      <c r="N102" s="276"/>
      <c r="O102" s="276"/>
    </row>
    <row r="103" spans="1:15">
      <c r="A103" s="276"/>
      <c r="B103" s="276"/>
      <c r="C103" s="276"/>
      <c r="D103" s="276"/>
      <c r="E103" s="276"/>
      <c r="F103" s="276"/>
      <c r="G103" s="276"/>
      <c r="H103" s="276"/>
      <c r="I103" s="276"/>
      <c r="J103" s="276"/>
      <c r="K103" s="276"/>
      <c r="L103" s="276"/>
      <c r="M103" s="276"/>
      <c r="N103" s="276"/>
      <c r="O103" s="276"/>
    </row>
    <row r="104" spans="1:15">
      <c r="A104" s="276"/>
      <c r="B104" s="276"/>
      <c r="C104" s="276"/>
      <c r="D104" s="276"/>
      <c r="E104" s="276"/>
      <c r="F104" s="276"/>
      <c r="G104" s="276"/>
      <c r="H104" s="276"/>
      <c r="I104" s="276"/>
      <c r="J104" s="276"/>
      <c r="K104" s="276"/>
      <c r="L104" s="276"/>
      <c r="M104" s="276"/>
      <c r="N104" s="276"/>
      <c r="O104" s="276"/>
    </row>
    <row r="105" spans="1:15">
      <c r="A105" s="276"/>
      <c r="B105" s="276"/>
      <c r="C105" s="276"/>
      <c r="D105" s="276"/>
      <c r="E105" s="276"/>
      <c r="F105" s="276"/>
      <c r="G105" s="276"/>
      <c r="H105" s="276"/>
      <c r="I105" s="276"/>
      <c r="J105" s="276"/>
      <c r="K105" s="276"/>
      <c r="L105" s="276"/>
      <c r="M105" s="276"/>
      <c r="N105" s="276"/>
      <c r="O105" s="276"/>
    </row>
    <row r="106" spans="1:15">
      <c r="A106" s="276"/>
      <c r="B106" s="276"/>
      <c r="C106" s="276"/>
      <c r="D106" s="276"/>
      <c r="E106" s="276"/>
      <c r="F106" s="276"/>
      <c r="G106" s="276"/>
      <c r="H106" s="276"/>
      <c r="I106" s="276"/>
      <c r="J106" s="276"/>
      <c r="K106" s="276"/>
      <c r="L106" s="276"/>
      <c r="M106" s="276"/>
      <c r="N106" s="276"/>
      <c r="O106" s="276"/>
    </row>
    <row r="107" spans="1:15">
      <c r="A107" s="276"/>
      <c r="B107" s="276"/>
      <c r="C107" s="276"/>
      <c r="D107" s="276"/>
      <c r="E107" s="276"/>
      <c r="F107" s="276"/>
      <c r="G107" s="276"/>
      <c r="H107" s="276"/>
      <c r="I107" s="276"/>
      <c r="J107" s="276"/>
      <c r="K107" s="276"/>
      <c r="L107" s="276"/>
      <c r="M107" s="276"/>
      <c r="N107" s="276"/>
      <c r="O107" s="276"/>
    </row>
    <row r="108" spans="1:15">
      <c r="A108" s="276"/>
      <c r="B108" s="276"/>
      <c r="C108" s="276"/>
      <c r="D108" s="276"/>
      <c r="E108" s="276"/>
      <c r="F108" s="276"/>
      <c r="G108" s="276"/>
      <c r="H108" s="276"/>
      <c r="I108" s="276"/>
      <c r="J108" s="276"/>
      <c r="K108" s="276"/>
      <c r="L108" s="276"/>
      <c r="M108" s="276"/>
      <c r="N108" s="276"/>
      <c r="O108" s="276"/>
    </row>
    <row r="109" spans="1:15">
      <c r="A109" s="276"/>
      <c r="B109" s="276"/>
      <c r="C109" s="276"/>
      <c r="D109" s="276"/>
      <c r="E109" s="276"/>
      <c r="F109" s="276"/>
      <c r="G109" s="276"/>
      <c r="H109" s="276"/>
      <c r="I109" s="276"/>
      <c r="J109" s="276"/>
      <c r="K109" s="276"/>
      <c r="L109" s="276"/>
      <c r="M109" s="276"/>
      <c r="N109" s="276"/>
      <c r="O109" s="276"/>
    </row>
    <row r="110" spans="1:15">
      <c r="A110" s="276"/>
      <c r="B110" s="276"/>
      <c r="C110" s="276"/>
      <c r="D110" s="276"/>
      <c r="E110" s="276"/>
      <c r="F110" s="276"/>
      <c r="G110" s="276"/>
      <c r="H110" s="276"/>
      <c r="I110" s="276"/>
      <c r="J110" s="276"/>
      <c r="K110" s="276"/>
      <c r="L110" s="276"/>
      <c r="M110" s="276"/>
      <c r="N110" s="276"/>
      <c r="O110" s="276"/>
    </row>
    <row r="111" spans="1:15">
      <c r="A111" s="276"/>
      <c r="B111" s="276"/>
      <c r="C111" s="276"/>
      <c r="D111" s="276"/>
      <c r="E111" s="276"/>
      <c r="F111" s="276"/>
      <c r="G111" s="276"/>
      <c r="H111" s="276"/>
      <c r="I111" s="276"/>
      <c r="J111" s="276"/>
      <c r="K111" s="276"/>
      <c r="L111" s="276"/>
      <c r="M111" s="276"/>
      <c r="N111" s="276"/>
      <c r="O111" s="276"/>
    </row>
    <row r="112" spans="1:15">
      <c r="A112" s="276"/>
      <c r="B112" s="276"/>
      <c r="C112" s="276"/>
      <c r="D112" s="276"/>
      <c r="E112" s="276"/>
      <c r="F112" s="276"/>
      <c r="G112" s="276"/>
      <c r="H112" s="276"/>
      <c r="I112" s="276"/>
      <c r="J112" s="276"/>
      <c r="K112" s="276"/>
      <c r="L112" s="276"/>
      <c r="M112" s="276"/>
      <c r="N112" s="276"/>
      <c r="O112" s="276"/>
    </row>
    <row r="113" spans="1:15">
      <c r="A113" s="276"/>
      <c r="B113" s="276"/>
      <c r="C113" s="276"/>
      <c r="D113" s="276"/>
      <c r="E113" s="276"/>
      <c r="F113" s="276"/>
      <c r="G113" s="276"/>
      <c r="H113" s="276"/>
      <c r="I113" s="276"/>
      <c r="J113" s="276"/>
      <c r="K113" s="276"/>
      <c r="L113" s="276"/>
      <c r="M113" s="276"/>
      <c r="N113" s="276"/>
      <c r="O113" s="276"/>
    </row>
    <row r="114" spans="1:15">
      <c r="A114" s="276"/>
      <c r="B114" s="276"/>
      <c r="C114" s="276"/>
      <c r="D114" s="276"/>
      <c r="E114" s="276"/>
      <c r="F114" s="276"/>
      <c r="G114" s="276"/>
      <c r="H114" s="276"/>
      <c r="I114" s="276"/>
      <c r="J114" s="276"/>
      <c r="K114" s="276"/>
      <c r="L114" s="276"/>
      <c r="M114" s="276"/>
      <c r="N114" s="276"/>
      <c r="O114" s="276"/>
    </row>
    <row r="115" spans="1:15">
      <c r="A115" s="276"/>
      <c r="B115" s="276"/>
      <c r="C115" s="276"/>
      <c r="D115" s="276"/>
      <c r="E115" s="276"/>
      <c r="F115" s="276"/>
      <c r="G115" s="276"/>
      <c r="H115" s="276"/>
      <c r="I115" s="276"/>
      <c r="J115" s="276"/>
      <c r="K115" s="276"/>
      <c r="L115" s="276"/>
      <c r="M115" s="276"/>
      <c r="N115" s="276"/>
      <c r="O115" s="276"/>
    </row>
    <row r="116" spans="1:15">
      <c r="A116" s="276"/>
      <c r="B116" s="276"/>
      <c r="C116" s="276"/>
      <c r="D116" s="276"/>
      <c r="E116" s="276"/>
      <c r="F116" s="276"/>
      <c r="G116" s="276"/>
      <c r="H116" s="276"/>
      <c r="I116" s="276"/>
      <c r="J116" s="276"/>
      <c r="K116" s="276"/>
      <c r="L116" s="276"/>
      <c r="M116" s="276"/>
      <c r="N116" s="276"/>
      <c r="O116" s="276"/>
    </row>
    <row r="117" spans="1:15">
      <c r="A117" s="276"/>
      <c r="B117" s="276"/>
      <c r="C117" s="276"/>
      <c r="D117" s="276"/>
      <c r="E117" s="276"/>
      <c r="F117" s="276"/>
      <c r="G117" s="276"/>
      <c r="H117" s="276"/>
      <c r="I117" s="276"/>
      <c r="J117" s="276"/>
      <c r="K117" s="276"/>
      <c r="L117" s="276"/>
      <c r="M117" s="276"/>
      <c r="N117" s="276"/>
      <c r="O117" s="276"/>
    </row>
    <row r="118" spans="1:15">
      <c r="A118" s="276"/>
      <c r="B118" s="276"/>
      <c r="C118" s="276"/>
      <c r="D118" s="276"/>
      <c r="E118" s="276"/>
      <c r="F118" s="276"/>
      <c r="G118" s="276"/>
      <c r="H118" s="276"/>
      <c r="I118" s="276"/>
      <c r="J118" s="276"/>
      <c r="K118" s="276"/>
      <c r="L118" s="276"/>
      <c r="M118" s="276"/>
      <c r="N118" s="276"/>
      <c r="O118" s="276"/>
    </row>
    <row r="119" spans="1:15">
      <c r="A119" s="276"/>
      <c r="B119" s="276"/>
      <c r="C119" s="276"/>
      <c r="D119" s="276"/>
      <c r="E119" s="276"/>
      <c r="F119" s="276"/>
      <c r="G119" s="276"/>
      <c r="H119" s="276"/>
      <c r="I119" s="276"/>
      <c r="J119" s="276"/>
      <c r="K119" s="276"/>
      <c r="L119" s="276"/>
      <c r="M119" s="276"/>
      <c r="N119" s="276"/>
      <c r="O119" s="276"/>
    </row>
    <row r="120" spans="1:15">
      <c r="A120" s="276"/>
      <c r="B120" s="276"/>
      <c r="C120" s="276"/>
      <c r="D120" s="276"/>
      <c r="E120" s="276"/>
      <c r="F120" s="276"/>
      <c r="G120" s="276"/>
      <c r="H120" s="276"/>
      <c r="I120" s="276"/>
      <c r="J120" s="276"/>
      <c r="K120" s="276"/>
      <c r="L120" s="276"/>
      <c r="M120" s="276"/>
      <c r="N120" s="276"/>
      <c r="O120" s="276"/>
    </row>
    <row r="121" spans="1:15">
      <c r="A121" s="276"/>
      <c r="B121" s="276"/>
      <c r="C121" s="276"/>
      <c r="D121" s="276"/>
      <c r="E121" s="276"/>
      <c r="F121" s="276"/>
      <c r="G121" s="276"/>
      <c r="H121" s="276"/>
      <c r="I121" s="276"/>
      <c r="J121" s="276"/>
      <c r="K121" s="276"/>
      <c r="L121" s="276"/>
      <c r="M121" s="276"/>
      <c r="N121" s="276"/>
      <c r="O121" s="276"/>
    </row>
    <row r="122" spans="1:15">
      <c r="A122" s="276"/>
      <c r="B122" s="276"/>
      <c r="C122" s="276"/>
      <c r="D122" s="276"/>
      <c r="E122" s="276"/>
      <c r="F122" s="276"/>
      <c r="G122" s="276"/>
      <c r="H122" s="276"/>
      <c r="I122" s="276"/>
      <c r="J122" s="276"/>
      <c r="K122" s="276"/>
      <c r="L122" s="276"/>
      <c r="M122" s="276"/>
      <c r="N122" s="276"/>
      <c r="O122" s="276"/>
    </row>
    <row r="123" spans="1:15">
      <c r="A123" s="276"/>
      <c r="B123" s="276"/>
      <c r="C123" s="276"/>
      <c r="D123" s="276"/>
      <c r="E123" s="276"/>
      <c r="F123" s="276"/>
      <c r="G123" s="276"/>
      <c r="H123" s="276"/>
      <c r="I123" s="276"/>
      <c r="J123" s="276"/>
      <c r="K123" s="276"/>
      <c r="L123" s="276"/>
      <c r="M123" s="276"/>
      <c r="N123" s="276"/>
      <c r="O123" s="276"/>
    </row>
    <row r="124" spans="1:15">
      <c r="A124" s="276"/>
      <c r="B124" s="276"/>
      <c r="C124" s="276"/>
      <c r="D124" s="276"/>
      <c r="E124" s="276"/>
      <c r="F124" s="276"/>
      <c r="G124" s="276"/>
      <c r="H124" s="276"/>
      <c r="I124" s="276"/>
      <c r="J124" s="276"/>
      <c r="K124" s="276"/>
      <c r="L124" s="276"/>
      <c r="M124" s="276"/>
      <c r="N124" s="276"/>
      <c r="O124" s="276"/>
    </row>
    <row r="125" spans="1:15">
      <c r="A125" s="276"/>
      <c r="B125" s="276"/>
      <c r="C125" s="276"/>
      <c r="D125" s="276"/>
      <c r="E125" s="276"/>
      <c r="F125" s="276"/>
      <c r="G125" s="276"/>
      <c r="H125" s="276"/>
      <c r="I125" s="276"/>
      <c r="J125" s="276"/>
      <c r="K125" s="276"/>
      <c r="L125" s="276"/>
      <c r="M125" s="276"/>
      <c r="N125" s="276"/>
      <c r="O125" s="276"/>
    </row>
    <row r="126" spans="1:15">
      <c r="A126" s="276"/>
      <c r="B126" s="276"/>
      <c r="C126" s="276"/>
      <c r="D126" s="276"/>
      <c r="E126" s="276"/>
      <c r="F126" s="276"/>
      <c r="G126" s="276"/>
      <c r="H126" s="276"/>
      <c r="I126" s="276"/>
      <c r="J126" s="276"/>
      <c r="K126" s="276"/>
      <c r="L126" s="276"/>
      <c r="M126" s="276"/>
      <c r="N126" s="276"/>
      <c r="O126" s="276"/>
    </row>
    <row r="127" spans="1:15">
      <c r="A127" s="276"/>
      <c r="B127" s="276"/>
      <c r="C127" s="276"/>
      <c r="D127" s="276"/>
      <c r="E127" s="276"/>
      <c r="F127" s="276"/>
      <c r="G127" s="276"/>
      <c r="H127" s="276"/>
      <c r="I127" s="276"/>
      <c r="J127" s="276"/>
      <c r="K127" s="276"/>
      <c r="L127" s="276"/>
      <c r="M127" s="276"/>
      <c r="N127" s="276"/>
      <c r="O127" s="276"/>
    </row>
    <row r="128" spans="1:15">
      <c r="A128" s="276"/>
      <c r="B128" s="276"/>
      <c r="C128" s="276"/>
      <c r="D128" s="276"/>
      <c r="E128" s="276"/>
      <c r="F128" s="276"/>
      <c r="G128" s="276"/>
      <c r="H128" s="276"/>
      <c r="I128" s="276"/>
      <c r="J128" s="276"/>
      <c r="K128" s="276"/>
      <c r="L128" s="276"/>
      <c r="M128" s="276"/>
      <c r="N128" s="276"/>
      <c r="O128" s="276"/>
    </row>
    <row r="129" spans="1:15">
      <c r="A129" s="276"/>
      <c r="B129" s="276"/>
      <c r="C129" s="276"/>
      <c r="D129" s="276"/>
      <c r="E129" s="276"/>
      <c r="F129" s="276"/>
      <c r="G129" s="276"/>
      <c r="H129" s="276"/>
      <c r="I129" s="276"/>
      <c r="J129" s="276"/>
      <c r="K129" s="276"/>
      <c r="L129" s="276"/>
      <c r="M129" s="276"/>
      <c r="N129" s="276"/>
      <c r="O129" s="276"/>
    </row>
    <row r="130" spans="1:15">
      <c r="A130" s="276"/>
      <c r="B130" s="276"/>
      <c r="C130" s="276"/>
      <c r="D130" s="276"/>
      <c r="E130" s="276"/>
      <c r="F130" s="276"/>
      <c r="G130" s="276"/>
      <c r="H130" s="276"/>
      <c r="I130" s="276"/>
      <c r="J130" s="276"/>
      <c r="K130" s="276"/>
      <c r="L130" s="276"/>
      <c r="M130" s="276"/>
      <c r="N130" s="276"/>
      <c r="O130" s="276"/>
    </row>
    <row r="131" spans="1:15">
      <c r="A131" s="276"/>
      <c r="B131" s="276"/>
      <c r="C131" s="276"/>
      <c r="D131" s="276"/>
      <c r="E131" s="276"/>
      <c r="F131" s="276"/>
      <c r="G131" s="276"/>
      <c r="H131" s="276"/>
      <c r="I131" s="276"/>
      <c r="J131" s="276"/>
      <c r="K131" s="276"/>
      <c r="L131" s="276"/>
      <c r="M131" s="276"/>
      <c r="N131" s="276"/>
      <c r="O131" s="276"/>
    </row>
    <row r="132" spans="1:15">
      <c r="A132" s="276"/>
      <c r="B132" s="276"/>
      <c r="C132" s="276"/>
      <c r="D132" s="276"/>
      <c r="E132" s="276"/>
      <c r="F132" s="276"/>
      <c r="G132" s="276"/>
      <c r="H132" s="276"/>
      <c r="I132" s="276"/>
      <c r="J132" s="276"/>
      <c r="K132" s="276"/>
      <c r="L132" s="276"/>
      <c r="M132" s="276"/>
      <c r="N132" s="276"/>
      <c r="O132" s="276"/>
    </row>
    <row r="133" spans="1:15">
      <c r="A133" s="276"/>
      <c r="B133" s="276"/>
      <c r="C133" s="276"/>
      <c r="D133" s="276"/>
      <c r="E133" s="276"/>
      <c r="F133" s="276"/>
      <c r="G133" s="276"/>
      <c r="H133" s="276"/>
      <c r="I133" s="276"/>
      <c r="J133" s="276"/>
      <c r="K133" s="276"/>
      <c r="L133" s="276"/>
      <c r="M133" s="276"/>
      <c r="N133" s="276"/>
      <c r="O133" s="276"/>
    </row>
    <row r="134" spans="1:15">
      <c r="A134" s="276"/>
      <c r="B134" s="276"/>
      <c r="C134" s="276"/>
      <c r="D134" s="276"/>
      <c r="E134" s="276"/>
      <c r="F134" s="276"/>
      <c r="G134" s="276"/>
      <c r="H134" s="276"/>
      <c r="I134" s="276"/>
      <c r="J134" s="276"/>
      <c r="K134" s="276"/>
      <c r="L134" s="276"/>
      <c r="M134" s="276"/>
      <c r="N134" s="276"/>
      <c r="O134" s="276"/>
    </row>
    <row r="135" spans="1:15">
      <c r="A135" s="276"/>
      <c r="B135" s="276"/>
      <c r="C135" s="276"/>
      <c r="D135" s="276"/>
      <c r="E135" s="276"/>
      <c r="F135" s="276"/>
      <c r="G135" s="276"/>
      <c r="H135" s="276"/>
      <c r="I135" s="276"/>
      <c r="J135" s="276"/>
      <c r="K135" s="276"/>
      <c r="L135" s="276"/>
      <c r="M135" s="276"/>
      <c r="N135" s="276"/>
      <c r="O135" s="276"/>
    </row>
    <row r="136" spans="1:15">
      <c r="A136" s="276"/>
      <c r="B136" s="276"/>
      <c r="C136" s="276"/>
      <c r="D136" s="276"/>
      <c r="E136" s="276"/>
      <c r="F136" s="276"/>
      <c r="G136" s="276"/>
      <c r="H136" s="276"/>
      <c r="I136" s="276"/>
      <c r="J136" s="276"/>
      <c r="K136" s="276"/>
      <c r="L136" s="276"/>
      <c r="M136" s="276"/>
      <c r="N136" s="276"/>
      <c r="O136" s="276"/>
    </row>
    <row r="137" spans="1:15">
      <c r="A137" s="276"/>
      <c r="B137" s="276"/>
      <c r="C137" s="276"/>
      <c r="D137" s="276"/>
      <c r="E137" s="276"/>
      <c r="F137" s="276"/>
      <c r="G137" s="276"/>
      <c r="H137" s="276"/>
      <c r="I137" s="276"/>
      <c r="J137" s="276"/>
      <c r="K137" s="276"/>
      <c r="L137" s="276"/>
      <c r="M137" s="276"/>
      <c r="N137" s="276"/>
      <c r="O137" s="276"/>
    </row>
    <row r="138" spans="1:15">
      <c r="A138" s="276"/>
      <c r="B138" s="276"/>
      <c r="C138" s="276"/>
      <c r="D138" s="276"/>
      <c r="E138" s="276"/>
      <c r="F138" s="276"/>
      <c r="G138" s="276"/>
      <c r="H138" s="276"/>
      <c r="I138" s="276"/>
      <c r="J138" s="276"/>
      <c r="K138" s="276"/>
      <c r="L138" s="276"/>
      <c r="M138" s="276"/>
      <c r="N138" s="276"/>
      <c r="O138" s="276"/>
    </row>
    <row r="139" spans="1:15">
      <c r="A139" s="276"/>
      <c r="B139" s="276"/>
      <c r="C139" s="276"/>
      <c r="D139" s="276"/>
      <c r="E139" s="276"/>
      <c r="F139" s="276"/>
      <c r="G139" s="276"/>
      <c r="H139" s="276"/>
      <c r="I139" s="276"/>
      <c r="J139" s="276"/>
      <c r="K139" s="276"/>
      <c r="L139" s="276"/>
      <c r="M139" s="276"/>
      <c r="N139" s="276"/>
      <c r="O139" s="276"/>
    </row>
  </sheetData>
  <sheetProtection password="CC11" sheet="1" objects="1" scenarios="1"/>
  <phoneticPr fontId="2" type="noConversion"/>
  <dataValidations count="1">
    <dataValidation type="whole" operator="greaterThanOrEqual" showInputMessage="1" showErrorMessage="1" errorTitle="Invalid Data Entry" error="Enter a positive whole number or press the delete key.   Leave blank if using the normal distribution." sqref="F51:F52 F54 H54 H51:H52">
      <formula1>0</formula1>
    </dataValidation>
  </dataValidations>
  <hyperlinks>
    <hyperlink ref="U1" location="Contents!A1" display="Return to Contents page"/>
  </hyperlinks>
  <printOptions horizontalCentered="1" verticalCentered="1"/>
  <pageMargins left="0.25" right="0.25" top="0.25" bottom="0.25" header="0.5" footer="0.5"/>
  <pageSetup scale="75" fitToHeight="2" orientation="landscape" blackAndWhite="1" horizontalDpi="4294967292" verticalDpi="4294967292"/>
  <headerFooter alignWithMargins="0">
    <oddFooter>&amp;L&amp;D     &amp;T &amp;RPage &amp;P</oddFooter>
  </headerFooter>
  <rowBreaks count="2" manualBreakCount="2">
    <brk id="45" max="16383" man="1"/>
    <brk id="127" max="65535" man="1"/>
  </rowBreaks>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35"/>
  <sheetViews>
    <sheetView topLeftCell="A10" zoomScaleNormal="100" workbookViewId="0">
      <selection activeCell="I25" sqref="I25"/>
    </sheetView>
  </sheetViews>
  <sheetFormatPr defaultColWidth="10.7109375" defaultRowHeight="15"/>
  <cols>
    <col min="1" max="1" width="4" style="306" customWidth="1"/>
    <col min="2" max="2" width="10.7109375" style="306" customWidth="1"/>
    <col min="3" max="3" width="30.42578125" style="306" customWidth="1"/>
    <col min="4" max="4" width="10.42578125" style="306" customWidth="1"/>
    <col min="5" max="5" width="4.28515625" style="306" customWidth="1"/>
    <col min="6" max="6" width="10.140625" style="306" customWidth="1"/>
    <col min="7" max="7" width="2.42578125" style="306" customWidth="1"/>
    <col min="8" max="8" width="18.42578125" style="306" customWidth="1"/>
    <col min="9" max="9" width="2.85546875" style="298" customWidth="1"/>
    <col min="10" max="16384" width="10.7109375" style="298"/>
  </cols>
  <sheetData>
    <row r="1" spans="1:10">
      <c r="A1" s="297" t="s">
        <v>197</v>
      </c>
      <c r="B1" s="297"/>
      <c r="C1" s="297"/>
      <c r="D1" s="297"/>
      <c r="E1" s="297"/>
      <c r="F1" s="486" t="s">
        <v>361</v>
      </c>
      <c r="G1" s="297"/>
      <c r="H1" s="456">
        <f>[2]OPEN!$B$4</f>
        <v>395</v>
      </c>
      <c r="J1" s="480" t="s">
        <v>268</v>
      </c>
    </row>
    <row r="2" spans="1:10">
      <c r="A2" s="297" t="s">
        <v>235</v>
      </c>
      <c r="B2" s="434">
        <f>[2]OPEN!$N$3</f>
        <v>40664</v>
      </c>
      <c r="C2" s="297"/>
      <c r="D2" s="297"/>
      <c r="E2" s="297"/>
      <c r="F2" s="297"/>
      <c r="G2" s="297"/>
      <c r="H2" s="297"/>
    </row>
    <row r="3" spans="1:10">
      <c r="A3" s="297"/>
      <c r="B3" s="297"/>
      <c r="C3" s="297"/>
      <c r="D3" s="297"/>
      <c r="E3" s="468"/>
      <c r="F3" s="297"/>
      <c r="G3" s="297"/>
      <c r="H3" s="468"/>
    </row>
    <row r="4" spans="1:10">
      <c r="A4" s="487" t="s">
        <v>8</v>
      </c>
      <c r="B4" s="299"/>
      <c r="C4" s="299"/>
      <c r="D4" s="299"/>
      <c r="E4" s="299"/>
      <c r="F4" s="299"/>
      <c r="G4" s="299"/>
      <c r="H4" s="299"/>
    </row>
    <row r="5" spans="1:10">
      <c r="A5" s="299"/>
      <c r="B5" s="299"/>
      <c r="C5" s="299"/>
      <c r="D5" s="299"/>
      <c r="E5" s="299"/>
      <c r="F5" s="299"/>
      <c r="G5" s="299"/>
      <c r="H5" s="299"/>
    </row>
    <row r="6" spans="1:10">
      <c r="A6" s="300" t="s">
        <v>198</v>
      </c>
      <c r="B6" s="299"/>
      <c r="C6" s="299"/>
      <c r="D6" s="299"/>
      <c r="E6" s="299"/>
      <c r="F6" s="299"/>
      <c r="G6" s="299"/>
      <c r="H6" s="299"/>
    </row>
    <row r="7" spans="1:10">
      <c r="A7" s="799" t="s">
        <v>205</v>
      </c>
      <c r="B7" s="799"/>
      <c r="C7" s="799"/>
      <c r="D7" s="799"/>
      <c r="E7" s="799"/>
      <c r="F7" s="799"/>
      <c r="G7" s="799"/>
      <c r="H7" s="799"/>
      <c r="I7" s="799"/>
    </row>
    <row r="8" spans="1:10">
      <c r="A8" s="300" t="s">
        <v>206</v>
      </c>
      <c r="B8" s="299"/>
      <c r="C8" s="299"/>
      <c r="D8" s="299"/>
      <c r="E8" s="299"/>
      <c r="F8" s="299"/>
      <c r="G8" s="299"/>
      <c r="H8" s="299"/>
    </row>
    <row r="9" spans="1:10" ht="12.75" customHeight="1">
      <c r="A9" s="301" t="str">
        <f>[2]OPEN!$N$2</f>
        <v>2011-2012</v>
      </c>
      <c r="B9" s="299"/>
      <c r="C9" s="299"/>
      <c r="D9" s="299"/>
      <c r="E9" s="299"/>
      <c r="F9" s="299"/>
      <c r="G9" s="299"/>
      <c r="H9" s="299"/>
    </row>
    <row r="10" spans="1:10" ht="12.75" customHeight="1">
      <c r="A10" s="301"/>
      <c r="B10" s="299"/>
      <c r="C10" s="299"/>
      <c r="D10" s="299"/>
      <c r="E10" s="299"/>
      <c r="F10" s="299"/>
      <c r="G10" s="299"/>
      <c r="H10" s="299"/>
    </row>
    <row r="11" spans="1:10">
      <c r="A11" s="302" t="s">
        <v>428</v>
      </c>
      <c r="B11" s="297"/>
      <c r="C11" s="297"/>
      <c r="D11" s="297"/>
      <c r="E11" s="297"/>
      <c r="F11" s="297"/>
      <c r="G11" s="297"/>
      <c r="H11" s="303"/>
    </row>
    <row r="12" spans="1:10">
      <c r="A12" s="297"/>
      <c r="B12" s="297"/>
      <c r="C12" s="297"/>
      <c r="D12" s="297"/>
      <c r="E12" s="297"/>
      <c r="F12" s="297"/>
      <c r="G12" s="297"/>
      <c r="H12" s="303"/>
    </row>
    <row r="13" spans="1:10">
      <c r="A13" s="297"/>
      <c r="B13" s="297" t="str">
        <f>"1.   Estimated aid 7/1/"&amp;[2]OPEN!$Q$5&amp;" to 6/30/"&amp;[2]OPEN!$S$5&amp;" (12 mo.) (No. of driver ed."</f>
        <v>1.   Estimated aid 7/1/2011 to 6/30/2012 (12 mo.) (No. of driver ed.</v>
      </c>
      <c r="C13" s="297"/>
      <c r="D13" s="297"/>
      <c r="E13" s="297"/>
      <c r="F13" s="297"/>
      <c r="G13" s="297"/>
      <c r="H13" s="303"/>
    </row>
    <row r="14" spans="1:10">
      <c r="A14" s="297"/>
      <c r="B14" s="297" t="s">
        <v>207</v>
      </c>
      <c r="C14" s="297"/>
      <c r="D14" s="305">
        <v>30</v>
      </c>
      <c r="E14" s="297" t="str">
        <f>"x $"&amp;[2]OPEN!$N$27&amp;")"</f>
        <v>x $74)</v>
      </c>
      <c r="F14" s="297"/>
      <c r="G14" s="297" t="s">
        <v>292</v>
      </c>
      <c r="H14" s="304">
        <f>D14*[2]OPEN!$N$27</f>
        <v>2220</v>
      </c>
    </row>
    <row r="15" spans="1:10">
      <c r="A15" s="297"/>
      <c r="B15" s="297"/>
      <c r="C15" s="297"/>
      <c r="D15" s="297"/>
      <c r="E15" s="297"/>
      <c r="F15" s="297"/>
      <c r="G15" s="297"/>
      <c r="H15" s="303"/>
    </row>
    <row r="16" spans="1:10">
      <c r="A16" s="297"/>
      <c r="B16" s="297"/>
      <c r="C16" s="297"/>
      <c r="D16" s="297"/>
      <c r="E16" s="297"/>
      <c r="F16" s="297"/>
      <c r="G16" s="297"/>
      <c r="H16" s="303"/>
    </row>
    <row r="17" spans="1:8">
      <c r="A17" s="302" t="s">
        <v>429</v>
      </c>
      <c r="B17" s="297"/>
      <c r="C17" s="297"/>
      <c r="D17" s="297"/>
      <c r="E17" s="297"/>
      <c r="F17" s="297"/>
      <c r="G17" s="297"/>
      <c r="H17" s="303"/>
    </row>
    <row r="18" spans="1:8">
      <c r="A18" s="297"/>
      <c r="B18" s="297"/>
      <c r="C18" s="297"/>
      <c r="D18" s="297"/>
      <c r="E18" s="297"/>
      <c r="F18" s="297"/>
      <c r="G18" s="297"/>
      <c r="H18" s="303"/>
    </row>
    <row r="19" spans="1:8">
      <c r="A19" s="297"/>
      <c r="B19" s="297" t="str">
        <f>"1.  Estimated aid 7/1/"&amp;[2]OPEN!$Q$5&amp;" to 6/30/"&amp;[2]OPEN!$S$5&amp;" (12 mo.) (No. of motorcycle"</f>
        <v>1.  Estimated aid 7/1/2011 to 6/30/2012 (12 mo.) (No. of motorcycle</v>
      </c>
      <c r="C19" s="297"/>
      <c r="D19" s="297"/>
      <c r="E19" s="297"/>
      <c r="F19" s="297"/>
      <c r="G19" s="297"/>
      <c r="H19" s="303"/>
    </row>
    <row r="20" spans="1:8">
      <c r="A20" s="297"/>
      <c r="B20" s="297" t="s">
        <v>208</v>
      </c>
      <c r="C20" s="297"/>
      <c r="D20" s="305"/>
      <c r="E20" s="297" t="str">
        <f>"x $"&amp;[2]OPEN!$N$28&amp;")"</f>
        <v>x $50)</v>
      </c>
      <c r="F20" s="297"/>
      <c r="G20" s="297" t="s">
        <v>292</v>
      </c>
      <c r="H20" s="304">
        <f>D20*[2]OPEN!$N$28</f>
        <v>0</v>
      </c>
    </row>
    <row r="21" spans="1:8">
      <c r="A21" s="297"/>
      <c r="B21" s="297"/>
      <c r="C21" s="297"/>
      <c r="D21" s="297"/>
      <c r="E21" s="297"/>
      <c r="F21" s="297"/>
      <c r="G21" s="297"/>
      <c r="H21" s="297"/>
    </row>
    <row r="22" spans="1:8">
      <c r="A22" s="297"/>
      <c r="B22" s="297"/>
      <c r="C22" s="297"/>
      <c r="D22" s="297"/>
      <c r="E22" s="297"/>
      <c r="F22" s="297"/>
      <c r="G22" s="297"/>
      <c r="H22" s="297"/>
    </row>
    <row r="23" spans="1:8">
      <c r="A23" s="447" t="s">
        <v>430</v>
      </c>
      <c r="B23" s="297"/>
      <c r="C23" s="297"/>
      <c r="D23" s="297"/>
      <c r="E23" s="297"/>
      <c r="F23" s="297"/>
      <c r="G23" s="297"/>
      <c r="H23" s="297"/>
    </row>
    <row r="24" spans="1:8">
      <c r="A24" s="297"/>
      <c r="B24" s="297"/>
      <c r="C24" s="297"/>
      <c r="D24" s="297"/>
      <c r="E24" s="297"/>
      <c r="F24" s="297"/>
      <c r="G24" s="297"/>
      <c r="H24" s="297"/>
    </row>
    <row r="25" spans="1:8">
      <c r="A25" s="297"/>
      <c r="B25" s="297" t="str">
        <f>"1.  Actual KPERS payments for "&amp;[2]OPEN!$O$14</f>
        <v>1.  Actual KPERS payments for 2010-11</v>
      </c>
      <c r="C25" s="297"/>
      <c r="D25" s="297"/>
      <c r="E25" s="297"/>
      <c r="F25" s="297"/>
      <c r="G25" s="297" t="s">
        <v>292</v>
      </c>
      <c r="H25" s="446">
        <v>130555</v>
      </c>
    </row>
    <row r="27" spans="1:8">
      <c r="B27" s="445" t="str">
        <f>"2.  Est. increase due to KPERS rate (Line 1 x " &amp; [2]OPEN!$O$29 &amp;"%)"</f>
        <v>2.  Est. increase due to KPERS rate (Line 1 x 80.00%)</v>
      </c>
      <c r="C27" s="445"/>
      <c r="D27" s="445"/>
      <c r="E27" s="445"/>
      <c r="F27" s="445"/>
      <c r="G27" s="445" t="s">
        <v>292</v>
      </c>
      <c r="H27" s="467">
        <f>H25*[2]OPEN!$N$29</f>
        <v>104444</v>
      </c>
    </row>
    <row r="29" spans="1:8">
      <c r="B29" s="445" t="s">
        <v>184</v>
      </c>
    </row>
    <row r="30" spans="1:8">
      <c r="A30" s="297"/>
      <c r="B30" s="297" t="s">
        <v>302</v>
      </c>
      <c r="C30" s="297"/>
      <c r="D30" s="450"/>
      <c r="E30" s="297" t="s">
        <v>41</v>
      </c>
      <c r="F30" s="297"/>
      <c r="G30" s="297" t="s">
        <v>292</v>
      </c>
      <c r="H30" s="451">
        <f>H25*D30/100</f>
        <v>0</v>
      </c>
    </row>
    <row r="31" spans="1:8">
      <c r="A31" s="297"/>
      <c r="B31" s="297"/>
      <c r="C31" s="297"/>
      <c r="D31" s="297"/>
      <c r="E31" s="297"/>
      <c r="F31" s="297"/>
      <c r="G31" s="297"/>
      <c r="H31" s="297"/>
    </row>
    <row r="32" spans="1:8">
      <c r="A32" s="297"/>
      <c r="B32" s="297" t="str">
        <f>"4.  Est. KPERS State Aid for "&amp;[2]OPEN!$P$14&amp;" (Line 1 + Line 2 + Line 3)"</f>
        <v>4.  Est. KPERS State Aid for 2011-12 (Line 1 + Line 2 + Line 3)</v>
      </c>
      <c r="C32" s="297"/>
      <c r="D32" s="297"/>
      <c r="E32" s="297"/>
      <c r="F32" s="297"/>
      <c r="G32" s="297" t="s">
        <v>292</v>
      </c>
      <c r="H32" s="451">
        <f>SUM(H25:H30)</f>
        <v>234999</v>
      </c>
    </row>
    <row r="33" spans="1:8">
      <c r="A33" s="297"/>
      <c r="B33" s="297"/>
      <c r="C33" s="297"/>
      <c r="D33" s="297"/>
      <c r="E33" s="297"/>
      <c r="F33" s="297"/>
      <c r="G33" s="297"/>
      <c r="H33" s="297"/>
    </row>
    <row r="34" spans="1:8">
      <c r="A34" s="297"/>
      <c r="B34" s="297"/>
      <c r="C34" s="297"/>
      <c r="D34" s="297"/>
      <c r="E34" s="297"/>
      <c r="F34" s="297"/>
      <c r="G34" s="297"/>
      <c r="H34" s="297"/>
    </row>
    <row r="35" spans="1:8">
      <c r="A35" s="297"/>
      <c r="B35" s="297"/>
      <c r="C35" s="297"/>
      <c r="D35" s="297"/>
      <c r="E35" s="297"/>
      <c r="F35" s="297"/>
      <c r="G35" s="297"/>
      <c r="H35" s="297"/>
    </row>
  </sheetData>
  <sheetProtection password="CC51" sheet="1" objects="1" scenarios="1"/>
  <mergeCells count="1">
    <mergeCell ref="A7:I7"/>
  </mergeCells>
  <phoneticPr fontId="2" type="noConversion"/>
  <dataValidations count="1">
    <dataValidation type="whole" operator="greaterThanOrEqual" showInputMessage="1" showErrorMessage="1" errorTitle="Invalid Data Entry" error="Please enter a positive whole number or press the delete key or enter zero." sqref="D14 D20">
      <formula1>0</formula1>
    </dataValidation>
  </dataValidations>
  <hyperlinks>
    <hyperlink ref="J1" location="Contents!A1" display="Return to Contents page"/>
  </hyperlinks>
  <printOptions horizontalCentered="1"/>
  <pageMargins left="0.5" right="0.5" top="0.25" bottom="0.25" header="0.5" footer="0.5"/>
  <pageSetup scale="95" orientation="portrait" blackAndWhite="1" horizontalDpi="4294967292" verticalDpi="4294967292"/>
  <headerFooter alignWithMargins="0">
    <oddFooter>&amp;L&amp;D     &amp;T &amp;CForm 195</oddFooter>
  </headerFooter>
  <rowBreaks count="1" manualBreakCount="1">
    <brk id="46" max="6553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379"/>
  <sheetViews>
    <sheetView zoomScale="125" workbookViewId="0">
      <selection activeCell="A8" sqref="A8:I8"/>
    </sheetView>
  </sheetViews>
  <sheetFormatPr defaultColWidth="10.7109375" defaultRowHeight="15"/>
  <cols>
    <col min="1" max="1" width="8.85546875" style="310" customWidth="1"/>
    <col min="2" max="2" width="12" style="310" customWidth="1"/>
    <col min="3" max="3" width="14.28515625" style="310" customWidth="1"/>
    <col min="4" max="4" width="21.85546875" style="310" customWidth="1"/>
    <col min="5" max="5" width="12.28515625" style="310" customWidth="1"/>
    <col min="6" max="6" width="5" style="310" customWidth="1"/>
    <col min="7" max="7" width="9.7109375" style="310" customWidth="1"/>
    <col min="8" max="8" width="2" style="310" customWidth="1"/>
    <col min="9" max="9" width="14.42578125" style="310" customWidth="1"/>
    <col min="10" max="10" width="3" style="310" customWidth="1"/>
    <col min="11" max="11" width="21" style="311" customWidth="1"/>
    <col min="12" max="12" width="3.28515625" style="311" customWidth="1"/>
    <col min="13" max="13" width="14.140625" style="311" customWidth="1"/>
    <col min="14" max="16384" width="10.7109375" style="311"/>
  </cols>
  <sheetData>
    <row r="1" spans="1:13">
      <c r="A1" s="307" t="s">
        <v>209</v>
      </c>
      <c r="B1" s="307"/>
      <c r="C1" s="307"/>
      <c r="D1" s="307"/>
      <c r="E1" s="307"/>
      <c r="F1" s="307"/>
      <c r="G1" s="308" t="s">
        <v>117</v>
      </c>
      <c r="H1" s="307"/>
      <c r="I1" s="309">
        <f>[2]OPEN!$B$4</f>
        <v>395</v>
      </c>
      <c r="K1" s="480" t="s">
        <v>268</v>
      </c>
    </row>
    <row r="2" spans="1:13">
      <c r="A2" s="312">
        <f>[2]OPEN!$N$3</f>
        <v>40664</v>
      </c>
      <c r="B2" s="307"/>
      <c r="C2" s="307"/>
      <c r="D2" s="307"/>
      <c r="E2" s="307"/>
      <c r="F2" s="307"/>
      <c r="G2" s="307"/>
      <c r="H2" s="307"/>
      <c r="I2" s="307"/>
    </row>
    <row r="3" spans="1:13">
      <c r="A3" s="313" t="s">
        <v>8</v>
      </c>
      <c r="B3" s="314"/>
      <c r="C3" s="314"/>
      <c r="D3" s="314"/>
      <c r="E3" s="314"/>
      <c r="F3" s="314"/>
      <c r="G3" s="314"/>
      <c r="H3" s="314"/>
      <c r="I3" s="314"/>
    </row>
    <row r="4" spans="1:13" ht="8.1" customHeight="1">
      <c r="A4" s="314"/>
      <c r="B4" s="314"/>
      <c r="C4" s="314"/>
      <c r="D4" s="314"/>
      <c r="E4" s="314"/>
      <c r="F4" s="314"/>
      <c r="G4" s="314"/>
      <c r="H4" s="314"/>
      <c r="I4" s="307"/>
    </row>
    <row r="5" spans="1:13">
      <c r="A5" s="313" t="s">
        <v>210</v>
      </c>
      <c r="B5" s="314"/>
      <c r="C5" s="314"/>
      <c r="D5" s="314"/>
      <c r="E5" s="314"/>
      <c r="F5" s="314"/>
      <c r="G5" s="314"/>
      <c r="H5" s="314"/>
      <c r="I5" s="314"/>
    </row>
    <row r="6" spans="1:13" ht="3.75" customHeight="1">
      <c r="A6" s="314"/>
      <c r="B6" s="314"/>
      <c r="C6" s="314"/>
      <c r="D6" s="314"/>
      <c r="E6" s="314"/>
      <c r="F6" s="314"/>
      <c r="G6" s="314"/>
      <c r="H6" s="314"/>
      <c r="I6" s="314"/>
    </row>
    <row r="7" spans="1:13">
      <c r="A7" s="313" t="str">
        <f>[2]OPEN!$N$2</f>
        <v>2011-2012</v>
      </c>
      <c r="B7" s="314"/>
      <c r="C7" s="314"/>
      <c r="D7" s="314"/>
      <c r="E7" s="314"/>
      <c r="F7" s="314"/>
      <c r="G7" s="314"/>
      <c r="H7" s="314"/>
      <c r="I7" s="314"/>
    </row>
    <row r="8" spans="1:13" ht="12" customHeight="1">
      <c r="A8" s="800" t="s">
        <v>211</v>
      </c>
      <c r="B8" s="800"/>
      <c r="C8" s="800"/>
      <c r="D8" s="800"/>
      <c r="E8" s="800"/>
      <c r="F8" s="800"/>
      <c r="G8" s="800"/>
      <c r="H8" s="800"/>
      <c r="I8" s="800"/>
    </row>
    <row r="9" spans="1:13" ht="12" customHeight="1">
      <c r="A9" s="307"/>
      <c r="B9" s="307"/>
      <c r="C9" s="307"/>
      <c r="D9" s="307"/>
      <c r="E9" s="307"/>
      <c r="F9" s="307"/>
      <c r="G9" s="307"/>
      <c r="H9" s="307"/>
      <c r="I9" s="307"/>
    </row>
    <row r="10" spans="1:13" ht="12" customHeight="1">
      <c r="A10" s="307" t="s">
        <v>394</v>
      </c>
      <c r="B10" s="307"/>
      <c r="C10" s="307"/>
      <c r="D10" s="307"/>
      <c r="E10" s="307"/>
      <c r="F10" s="307"/>
      <c r="G10" s="307"/>
      <c r="H10" s="307"/>
      <c r="I10" s="307"/>
    </row>
    <row r="11" spans="1:13" ht="15" customHeight="1">
      <c r="A11" s="307"/>
      <c r="B11" s="307"/>
      <c r="C11" s="307"/>
      <c r="D11" s="307"/>
      <c r="E11" s="307"/>
      <c r="F11" s="307"/>
      <c r="G11" s="307"/>
      <c r="H11" s="307"/>
      <c r="I11" s="307"/>
    </row>
    <row r="12" spans="1:13" ht="12" customHeight="1">
      <c r="A12" s="307" t="s">
        <v>564</v>
      </c>
      <c r="B12" s="307"/>
      <c r="C12" s="307"/>
      <c r="D12" s="307"/>
      <c r="E12" s="307"/>
      <c r="F12" s="307"/>
      <c r="G12" s="307"/>
      <c r="H12" s="307" t="s">
        <v>292</v>
      </c>
      <c r="I12" s="316">
        <f>IF(AND('F155'!$J$20&gt;0, 'F155'!$J$20&lt;='F155'!$J$18),'F155'!$J$20,M12)</f>
        <v>755662</v>
      </c>
      <c r="J12" s="315"/>
      <c r="M12" s="307">
        <f>IF('F155'!$J$20="",'F155'!$J$18,0)</f>
        <v>0</v>
      </c>
    </row>
    <row r="13" spans="1:13" ht="12" customHeight="1">
      <c r="A13" s="307"/>
      <c r="B13" s="307"/>
      <c r="C13" s="307"/>
      <c r="D13" s="307"/>
      <c r="E13" s="307"/>
      <c r="F13" s="307"/>
      <c r="G13" s="307"/>
      <c r="H13" s="307"/>
      <c r="I13" s="321"/>
      <c r="J13" s="315"/>
      <c r="M13" s="310"/>
    </row>
    <row r="14" spans="1:13" ht="12.75" customHeight="1">
      <c r="A14" s="307" t="s">
        <v>193</v>
      </c>
      <c r="B14" s="307"/>
      <c r="C14" s="307"/>
      <c r="D14" s="307"/>
      <c r="E14" s="307"/>
      <c r="F14" s="307"/>
      <c r="G14" s="307"/>
      <c r="H14" s="307"/>
      <c r="I14" s="317"/>
    </row>
    <row r="15" spans="1:13" ht="12" customHeight="1">
      <c r="A15" s="307"/>
      <c r="B15" s="307" t="s">
        <v>185</v>
      </c>
      <c r="C15" s="318">
        <f>I12</f>
        <v>755662</v>
      </c>
      <c r="D15" s="463" t="s">
        <v>273</v>
      </c>
      <c r="E15" s="464">
        <f>VLOOKUP($I$1,[2]DATA!A2:AD288,28,FALSE)</f>
        <v>0.32329999999999998</v>
      </c>
      <c r="F15" s="307" t="str">
        <f>"Pro-rated  "&amp;[2]OPEN!$O$46</f>
        <v>Pro-rated  83%</v>
      </c>
      <c r="G15" s="307"/>
      <c r="H15" s="307" t="s">
        <v>292</v>
      </c>
      <c r="I15" s="316">
        <f>ROUND((E15*C15)*[2]OPEN!$N$46,0)</f>
        <v>202774</v>
      </c>
    </row>
    <row r="16" spans="1:13" ht="12" customHeight="1">
      <c r="A16" s="320"/>
      <c r="B16" s="320"/>
      <c r="C16" s="320"/>
      <c r="D16" s="320"/>
      <c r="E16" s="463" t="s">
        <v>212</v>
      </c>
      <c r="F16" s="320"/>
      <c r="G16" s="320"/>
      <c r="H16" s="320"/>
      <c r="I16" s="321"/>
    </row>
    <row r="17" spans="1:9" ht="12" customHeight="1">
      <c r="A17" s="307" t="s">
        <v>69</v>
      </c>
      <c r="B17" s="307"/>
      <c r="C17" s="307"/>
      <c r="D17" s="307"/>
      <c r="E17" s="307"/>
      <c r="F17" s="307"/>
      <c r="G17" s="307"/>
      <c r="H17" s="322" t="s">
        <v>70</v>
      </c>
      <c r="I17" s="323"/>
    </row>
    <row r="18" spans="1:9" ht="9.75" customHeight="1">
      <c r="A18" s="307"/>
      <c r="B18" s="307"/>
      <c r="C18" s="307"/>
      <c r="D18" s="307"/>
      <c r="E18" s="307"/>
      <c r="F18" s="307"/>
      <c r="G18" s="307"/>
      <c r="H18" s="307"/>
      <c r="I18" s="321"/>
    </row>
    <row r="19" spans="1:9" ht="12" customHeight="1">
      <c r="A19" s="307" t="s">
        <v>468</v>
      </c>
      <c r="B19" s="307"/>
      <c r="C19" s="307"/>
      <c r="D19" s="307"/>
      <c r="E19" s="307"/>
      <c r="F19" s="307"/>
      <c r="G19" s="307"/>
      <c r="H19" s="307" t="s">
        <v>292</v>
      </c>
      <c r="I19" s="316">
        <f>I15-I17</f>
        <v>202774</v>
      </c>
    </row>
    <row r="20" spans="1:9" ht="8.1" customHeight="1">
      <c r="A20" s="324"/>
      <c r="B20" s="324"/>
      <c r="C20" s="324"/>
      <c r="D20" s="324"/>
      <c r="E20" s="324"/>
      <c r="F20" s="324"/>
      <c r="G20" s="324"/>
      <c r="H20" s="324"/>
      <c r="I20" s="324"/>
    </row>
    <row r="21" spans="1:9" ht="6.75" customHeight="1">
      <c r="A21" s="320"/>
      <c r="B21" s="320"/>
      <c r="C21" s="320"/>
      <c r="D21" s="320"/>
      <c r="E21" s="320"/>
      <c r="F21" s="320"/>
      <c r="G21" s="320"/>
      <c r="H21" s="320"/>
      <c r="I21" s="320"/>
    </row>
    <row r="22" spans="1:9" ht="12" customHeight="1">
      <c r="A22" s="315"/>
      <c r="B22" s="314"/>
      <c r="C22" s="315"/>
      <c r="D22" s="325" t="s">
        <v>484</v>
      </c>
      <c r="E22" s="313"/>
      <c r="F22" s="314"/>
      <c r="G22" s="308" t="s">
        <v>117</v>
      </c>
      <c r="H22" s="314"/>
      <c r="I22" s="326">
        <f>I1</f>
        <v>395</v>
      </c>
    </row>
    <row r="23" spans="1:9" ht="12" customHeight="1">
      <c r="A23" s="313" t="s">
        <v>71</v>
      </c>
      <c r="B23" s="314"/>
      <c r="C23" s="314"/>
      <c r="D23" s="314"/>
      <c r="E23" s="314"/>
      <c r="F23" s="314"/>
      <c r="G23" s="314"/>
      <c r="H23" s="314"/>
      <c r="I23" s="314"/>
    </row>
    <row r="24" spans="1:9" ht="12" customHeight="1">
      <c r="A24" s="313" t="str">
        <f>A7</f>
        <v>2011-2012</v>
      </c>
      <c r="B24" s="314"/>
      <c r="C24" s="314"/>
      <c r="D24" s="314"/>
      <c r="E24" s="314"/>
      <c r="F24" s="314"/>
      <c r="G24" s="314"/>
      <c r="H24" s="314"/>
      <c r="I24" s="314"/>
    </row>
    <row r="25" spans="1:9" ht="12" customHeight="1">
      <c r="A25" s="313" t="s">
        <v>72</v>
      </c>
      <c r="B25" s="314"/>
      <c r="C25" s="314"/>
      <c r="D25" s="314"/>
      <c r="E25" s="314"/>
      <c r="F25" s="314"/>
      <c r="G25" s="314"/>
      <c r="H25" s="314"/>
      <c r="I25" s="314"/>
    </row>
    <row r="26" spans="1:9" ht="12" customHeight="1">
      <c r="A26" s="314" t="s">
        <v>73</v>
      </c>
      <c r="B26" s="314"/>
      <c r="C26" s="314"/>
      <c r="D26" s="314"/>
      <c r="E26" s="314"/>
      <c r="F26" s="314"/>
      <c r="G26" s="314"/>
      <c r="H26" s="314"/>
      <c r="I26" s="314"/>
    </row>
    <row r="27" spans="1:9" ht="6.75" customHeight="1">
      <c r="A27" s="307"/>
      <c r="B27" s="307"/>
      <c r="C27" s="307"/>
      <c r="D27" s="307"/>
      <c r="E27" s="307"/>
      <c r="F27" s="307"/>
      <c r="G27" s="307"/>
      <c r="H27" s="307"/>
      <c r="I27" s="307"/>
    </row>
    <row r="28" spans="1:9" ht="12" customHeight="1">
      <c r="A28" s="307" t="s">
        <v>74</v>
      </c>
      <c r="B28" s="307"/>
      <c r="C28" s="307"/>
      <c r="D28" s="307"/>
      <c r="E28" s="307"/>
      <c r="F28" s="307"/>
      <c r="G28" s="307"/>
      <c r="H28" s="307"/>
      <c r="I28" s="307"/>
    </row>
    <row r="29" spans="1:9" ht="12" customHeight="1">
      <c r="A29" s="307" t="s">
        <v>75</v>
      </c>
      <c r="B29" s="307"/>
      <c r="C29" s="307"/>
      <c r="D29" s="307"/>
      <c r="E29" s="307"/>
      <c r="F29" s="307"/>
      <c r="G29" s="307"/>
      <c r="H29" s="307"/>
      <c r="I29" s="307"/>
    </row>
    <row r="30" spans="1:9" ht="9.75" customHeight="1">
      <c r="A30" s="307"/>
      <c r="B30" s="307"/>
      <c r="C30" s="307"/>
      <c r="D30" s="307"/>
      <c r="E30" s="307"/>
      <c r="F30" s="307"/>
      <c r="G30" s="307"/>
      <c r="H30" s="307"/>
      <c r="I30" s="307"/>
    </row>
    <row r="31" spans="1:9" ht="14.1" customHeight="1">
      <c r="A31" s="307" t="str">
        <f>"1.  Estimated "&amp;[2]OPEN!$P$4&amp;" bond and interest fund payments"</f>
        <v>1.  Estimated 2011-2012 bond and interest fund payments</v>
      </c>
      <c r="B31" s="307"/>
      <c r="C31" s="307"/>
      <c r="D31" s="307"/>
      <c r="E31" s="307"/>
      <c r="F31" s="307"/>
      <c r="G31" s="307"/>
      <c r="H31" s="307" t="s">
        <v>292</v>
      </c>
      <c r="I31" s="323"/>
    </row>
    <row r="32" spans="1:9" ht="8.1" customHeight="1">
      <c r="A32" s="307"/>
      <c r="B32" s="307"/>
      <c r="C32" s="307"/>
      <c r="D32" s="307"/>
      <c r="E32" s="307"/>
      <c r="F32" s="307"/>
      <c r="G32" s="307"/>
      <c r="H32" s="307"/>
      <c r="I32" s="317"/>
    </row>
    <row r="33" spans="1:9" ht="14.25" customHeight="1">
      <c r="A33" s="307" t="s">
        <v>514</v>
      </c>
      <c r="B33" s="307"/>
      <c r="C33" s="307"/>
      <c r="D33" s="307"/>
      <c r="E33" s="307"/>
      <c r="F33" s="307"/>
      <c r="G33" s="307"/>
      <c r="H33" s="307" t="s">
        <v>292</v>
      </c>
      <c r="I33" s="579"/>
    </row>
    <row r="34" spans="1:9" ht="8.1" customHeight="1">
      <c r="A34" s="307"/>
      <c r="B34" s="307"/>
      <c r="C34" s="307"/>
      <c r="D34" s="307"/>
      <c r="E34" s="307"/>
      <c r="F34" s="307"/>
      <c r="G34" s="307"/>
      <c r="H34" s="307"/>
      <c r="I34" s="317"/>
    </row>
    <row r="35" spans="1:9" ht="12" customHeight="1">
      <c r="A35" s="307" t="s">
        <v>433</v>
      </c>
      <c r="B35" s="307"/>
      <c r="C35" s="307"/>
      <c r="D35" s="320"/>
      <c r="E35" s="319">
        <f>VLOOKUP($I$1,[2]DATA!A3:AD288,29,FALSE)</f>
        <v>0</v>
      </c>
      <c r="F35" s="307"/>
      <c r="G35" s="327" t="s">
        <v>212</v>
      </c>
      <c r="H35" s="307" t="s">
        <v>292</v>
      </c>
      <c r="I35" s="328">
        <f>(I31-I33)*E35</f>
        <v>0</v>
      </c>
    </row>
    <row r="36" spans="1:9" ht="6.75" customHeight="1">
      <c r="A36" s="307"/>
      <c r="B36" s="307"/>
      <c r="C36" s="307"/>
      <c r="D36" s="307"/>
      <c r="E36" s="307"/>
      <c r="F36" s="307"/>
      <c r="G36" s="307"/>
      <c r="H36" s="307"/>
      <c r="I36" s="317"/>
    </row>
    <row r="37" spans="1:9" ht="12" customHeight="1">
      <c r="A37" s="307" t="s">
        <v>434</v>
      </c>
      <c r="B37" s="307"/>
      <c r="C37" s="307"/>
      <c r="D37" s="307"/>
      <c r="E37" s="307"/>
      <c r="F37" s="307"/>
      <c r="G37" s="307"/>
      <c r="H37" s="322" t="s">
        <v>70</v>
      </c>
      <c r="I37" s="323"/>
    </row>
    <row r="38" spans="1:9" ht="6.75" customHeight="1">
      <c r="A38" s="315"/>
      <c r="B38" s="315"/>
      <c r="C38" s="315"/>
      <c r="D38" s="315"/>
      <c r="E38" s="315"/>
      <c r="F38" s="315"/>
      <c r="G38" s="315"/>
      <c r="H38" s="315"/>
      <c r="I38" s="329"/>
    </row>
    <row r="39" spans="1:9" ht="13.5" customHeight="1">
      <c r="A39" s="315" t="s">
        <v>334</v>
      </c>
      <c r="B39" s="315"/>
      <c r="C39" s="315"/>
      <c r="D39" s="315"/>
      <c r="E39" s="315"/>
      <c r="F39" s="315"/>
      <c r="G39" s="315"/>
      <c r="H39" s="315" t="s">
        <v>70</v>
      </c>
      <c r="I39" s="323"/>
    </row>
    <row r="40" spans="1:9" ht="5.25" customHeight="1">
      <c r="A40" s="315"/>
      <c r="B40" s="315"/>
      <c r="C40" s="315"/>
      <c r="D40" s="315"/>
      <c r="E40" s="315"/>
      <c r="F40" s="315"/>
      <c r="G40" s="315"/>
      <c r="H40" s="315"/>
      <c r="I40" s="329"/>
    </row>
    <row r="41" spans="1:9">
      <c r="A41" s="307" t="s">
        <v>435</v>
      </c>
      <c r="B41" s="307"/>
      <c r="C41" s="307"/>
      <c r="D41" s="307"/>
      <c r="E41" s="307"/>
      <c r="F41" s="307"/>
      <c r="G41" s="307"/>
      <c r="H41" s="307" t="s">
        <v>292</v>
      </c>
      <c r="I41" s="316">
        <f>IF(I35-(I37+I39)&lt;0,0,I35-(I37+I39))</f>
        <v>0</v>
      </c>
    </row>
    <row r="42" spans="1:9">
      <c r="A42" s="307" t="str">
        <f>"     (July 1,"&amp;[2]OPEN!$Q$5&amp;" through June 30, "&amp;[2]OPEN!$S$5&amp;") (Line 3 - (Line 4 + Line 5))"</f>
        <v xml:space="preserve">     (July 1,2011 through June 30, 2012) (Line 3 - (Line 4 + Line 5))</v>
      </c>
      <c r="B42" s="307"/>
      <c r="C42" s="307"/>
      <c r="D42" s="307"/>
      <c r="E42" s="315"/>
      <c r="F42" s="315"/>
      <c r="G42" s="315"/>
      <c r="H42" s="315"/>
      <c r="I42" s="330"/>
    </row>
    <row r="43" spans="1:9" ht="12" customHeight="1">
      <c r="A43" s="330"/>
      <c r="B43" s="331"/>
      <c r="C43" s="331"/>
      <c r="D43" s="330"/>
      <c r="E43" s="331"/>
      <c r="F43" s="331"/>
      <c r="G43" s="327"/>
      <c r="H43" s="331"/>
      <c r="I43" s="332"/>
    </row>
    <row r="44" spans="1:9" ht="12" customHeight="1">
      <c r="A44" s="333" t="s">
        <v>485</v>
      </c>
      <c r="B44" s="333"/>
      <c r="C44" s="334"/>
      <c r="D44" s="335"/>
      <c r="E44" s="334"/>
      <c r="F44" s="334"/>
      <c r="G44" s="336" t="s">
        <v>221</v>
      </c>
      <c r="H44" s="333"/>
      <c r="I44" s="326">
        <f>I1</f>
        <v>395</v>
      </c>
    </row>
    <row r="45" spans="1:9" ht="12" customHeight="1">
      <c r="A45" s="313" t="s">
        <v>71</v>
      </c>
      <c r="B45" s="313"/>
      <c r="C45" s="313"/>
      <c r="D45" s="313"/>
      <c r="E45" s="313"/>
      <c r="F45" s="313"/>
      <c r="G45" s="313"/>
      <c r="H45" s="313"/>
      <c r="I45" s="313"/>
    </row>
    <row r="46" spans="1:9" ht="12" customHeight="1">
      <c r="A46" s="313" t="str">
        <f>A24</f>
        <v>2011-2012</v>
      </c>
      <c r="B46" s="314"/>
      <c r="C46" s="314"/>
      <c r="D46" s="314"/>
      <c r="E46" s="314"/>
      <c r="F46" s="314"/>
      <c r="G46" s="314"/>
      <c r="H46" s="314"/>
      <c r="I46" s="314"/>
    </row>
    <row r="47" spans="1:9" ht="12" customHeight="1">
      <c r="A47" s="313" t="s">
        <v>72</v>
      </c>
      <c r="B47" s="314"/>
      <c r="C47" s="314"/>
      <c r="D47" s="314"/>
      <c r="E47" s="314"/>
      <c r="F47" s="314"/>
      <c r="G47" s="314"/>
      <c r="H47" s="314"/>
      <c r="I47" s="314"/>
    </row>
    <row r="48" spans="1:9" ht="12" customHeight="1">
      <c r="A48" s="314" t="s">
        <v>222</v>
      </c>
      <c r="B48" s="314"/>
      <c r="C48" s="314"/>
      <c r="D48" s="314"/>
      <c r="E48" s="314"/>
      <c r="F48" s="314"/>
      <c r="G48" s="314"/>
      <c r="H48" s="314"/>
      <c r="I48" s="314"/>
    </row>
    <row r="49" spans="1:9" ht="12" customHeight="1">
      <c r="A49" s="307" t="s">
        <v>74</v>
      </c>
      <c r="B49" s="307"/>
      <c r="C49" s="307"/>
      <c r="D49" s="307"/>
      <c r="E49" s="307"/>
      <c r="F49" s="307"/>
      <c r="G49" s="307"/>
      <c r="H49" s="307"/>
      <c r="I49" s="307"/>
    </row>
    <row r="50" spans="1:9" ht="12" customHeight="1">
      <c r="A50" s="307" t="s">
        <v>75</v>
      </c>
      <c r="B50" s="307"/>
      <c r="C50" s="307"/>
      <c r="D50" s="307"/>
      <c r="E50" s="307"/>
      <c r="F50" s="307"/>
      <c r="G50" s="307"/>
      <c r="H50" s="307"/>
      <c r="I50" s="307"/>
    </row>
    <row r="51" spans="1:9" ht="8.1" customHeight="1">
      <c r="A51" s="307"/>
      <c r="B51" s="307"/>
      <c r="C51" s="307"/>
      <c r="D51" s="307"/>
      <c r="E51" s="307"/>
      <c r="F51" s="307"/>
      <c r="G51" s="307"/>
      <c r="H51" s="307"/>
      <c r="I51" s="307"/>
    </row>
    <row r="52" spans="1:9" ht="12" customHeight="1">
      <c r="A52" s="307" t="str">
        <f>"1.  Estimated "&amp;[2]OPEN!$P$4&amp;" bond and interest fund payments"</f>
        <v>1.  Estimated 2011-2012 bond and interest fund payments</v>
      </c>
      <c r="B52" s="307"/>
      <c r="C52" s="307"/>
      <c r="D52" s="307"/>
      <c r="E52" s="307"/>
      <c r="F52" s="307"/>
      <c r="G52" s="307"/>
      <c r="H52" s="307" t="s">
        <v>292</v>
      </c>
      <c r="I52" s="323"/>
    </row>
    <row r="53" spans="1:9" ht="12" customHeight="1">
      <c r="A53" s="307"/>
      <c r="B53" s="307"/>
      <c r="C53" s="307"/>
      <c r="D53" s="307"/>
      <c r="E53" s="307"/>
      <c r="F53" s="307"/>
      <c r="G53" s="307"/>
      <c r="H53" s="307"/>
      <c r="I53" s="321"/>
    </row>
    <row r="54" spans="1:9" ht="12" customHeight="1">
      <c r="A54" s="307" t="s">
        <v>514</v>
      </c>
      <c r="B54" s="307"/>
      <c r="C54" s="307"/>
      <c r="D54" s="307"/>
      <c r="E54" s="307"/>
      <c r="F54" s="307"/>
      <c r="G54" s="307"/>
      <c r="H54" s="307" t="s">
        <v>292</v>
      </c>
      <c r="I54" s="323"/>
    </row>
    <row r="55" spans="1:9" ht="8.1" customHeight="1">
      <c r="A55" s="307"/>
      <c r="B55" s="307"/>
      <c r="C55" s="307"/>
      <c r="D55" s="307"/>
      <c r="E55" s="307"/>
      <c r="F55" s="307"/>
      <c r="G55" s="307"/>
      <c r="H55" s="307"/>
      <c r="I55" s="317"/>
    </row>
    <row r="56" spans="1:9" ht="12" customHeight="1">
      <c r="A56" s="307" t="s">
        <v>523</v>
      </c>
      <c r="B56" s="307"/>
      <c r="C56" s="307"/>
      <c r="D56" s="307"/>
      <c r="E56" s="319">
        <f>VLOOKUP($I$1,[2]DATA!A3:AD288,30,FALSE)</f>
        <v>0.13</v>
      </c>
      <c r="F56" s="307"/>
      <c r="G56" s="308" t="s">
        <v>212</v>
      </c>
      <c r="H56" s="307" t="s">
        <v>292</v>
      </c>
      <c r="I56" s="316">
        <f>(I52-I54)*E56</f>
        <v>0</v>
      </c>
    </row>
    <row r="57" spans="1:9" ht="9" customHeight="1">
      <c r="A57" s="307"/>
      <c r="B57" s="307"/>
      <c r="C57" s="307"/>
      <c r="D57" s="307"/>
      <c r="E57" s="307"/>
      <c r="F57" s="307"/>
      <c r="G57" s="307"/>
      <c r="H57" s="307"/>
      <c r="I57" s="317"/>
    </row>
    <row r="58" spans="1:9" ht="12" customHeight="1">
      <c r="A58" s="307" t="s">
        <v>434</v>
      </c>
      <c r="B58" s="307"/>
      <c r="C58" s="307"/>
      <c r="D58" s="307"/>
      <c r="E58" s="307"/>
      <c r="F58" s="307"/>
      <c r="G58" s="307"/>
      <c r="H58" s="322" t="s">
        <v>70</v>
      </c>
      <c r="I58" s="323"/>
    </row>
    <row r="59" spans="1:9" ht="8.1" customHeight="1">
      <c r="A59" s="307"/>
      <c r="B59" s="307"/>
      <c r="C59" s="307"/>
      <c r="D59" s="307"/>
      <c r="E59" s="307"/>
      <c r="F59" s="307"/>
      <c r="G59" s="307"/>
      <c r="H59" s="307"/>
      <c r="I59" s="321"/>
    </row>
    <row r="60" spans="1:9" ht="13.5" customHeight="1">
      <c r="A60" s="307" t="s">
        <v>334</v>
      </c>
      <c r="B60" s="307"/>
      <c r="C60" s="307"/>
      <c r="D60" s="307"/>
      <c r="E60" s="307"/>
      <c r="F60" s="307"/>
      <c r="G60" s="307"/>
      <c r="H60" s="307" t="s">
        <v>70</v>
      </c>
      <c r="I60" s="323"/>
    </row>
    <row r="61" spans="1:9" ht="8.1" customHeight="1">
      <c r="A61" s="307"/>
      <c r="B61" s="307"/>
      <c r="C61" s="307"/>
      <c r="D61" s="307"/>
      <c r="E61" s="307"/>
      <c r="F61" s="307"/>
      <c r="G61" s="307"/>
      <c r="H61" s="307"/>
      <c r="I61" s="321"/>
    </row>
    <row r="62" spans="1:9">
      <c r="A62" s="320" t="s">
        <v>435</v>
      </c>
      <c r="B62" s="307"/>
      <c r="C62" s="307"/>
      <c r="D62" s="307"/>
      <c r="E62" s="307"/>
      <c r="F62" s="307"/>
      <c r="G62" s="307"/>
      <c r="H62" s="307" t="s">
        <v>292</v>
      </c>
      <c r="I62" s="316">
        <f>IF(I56-(I58+I60)&lt;0,0,I56-(I58+I60))</f>
        <v>0</v>
      </c>
    </row>
    <row r="63" spans="1:9">
      <c r="A63" s="315" t="str">
        <f>"     (July 1, "&amp;[2]OPEN!$Q$5&amp;" through June 30, "&amp;[2]OPEN!$S$5&amp;") (Line 3 - (Line 4 + Line 5))"</f>
        <v xml:space="preserve">     (July 1, 2011 through June 30, 2012) (Line 3 - (Line 4 + Line 5))</v>
      </c>
      <c r="B63" s="320"/>
      <c r="C63" s="320"/>
      <c r="D63" s="320"/>
      <c r="E63" s="320"/>
      <c r="F63" s="320"/>
      <c r="G63" s="320"/>
      <c r="H63" s="320"/>
      <c r="I63" s="320"/>
    </row>
    <row r="64" spans="1:9">
      <c r="A64" s="320"/>
      <c r="B64" s="320"/>
      <c r="C64" s="320"/>
      <c r="D64" s="320"/>
      <c r="E64" s="320"/>
      <c r="F64" s="320"/>
      <c r="G64" s="320"/>
      <c r="H64" s="320"/>
      <c r="I64" s="320"/>
    </row>
    <row r="65" spans="1:10">
      <c r="A65" s="405"/>
      <c r="B65" s="590"/>
      <c r="C65" s="324"/>
      <c r="D65" s="324"/>
      <c r="E65" s="324"/>
      <c r="F65" s="324"/>
      <c r="G65" s="324"/>
      <c r="H65" s="324"/>
      <c r="I65" s="324"/>
    </row>
    <row r="66" spans="1:10">
      <c r="A66" s="642"/>
      <c r="B66" s="620"/>
      <c r="C66" s="620"/>
      <c r="D66" s="620"/>
      <c r="E66" s="337"/>
      <c r="F66" s="337"/>
      <c r="G66" s="574"/>
      <c r="H66" s="337"/>
      <c r="I66" s="337"/>
      <c r="J66" s="337"/>
    </row>
    <row r="67" spans="1:10">
      <c r="A67" s="620"/>
      <c r="B67" s="620"/>
      <c r="C67" s="620"/>
      <c r="D67" s="620"/>
      <c r="E67" s="337"/>
      <c r="F67" s="337"/>
      <c r="G67" s="338"/>
      <c r="H67" s="337"/>
      <c r="I67" s="337"/>
      <c r="J67" s="337"/>
    </row>
    <row r="68" spans="1:10">
      <c r="A68" s="616"/>
      <c r="B68" s="422"/>
      <c r="C68" s="423"/>
      <c r="D68" s="423"/>
      <c r="E68" s="422"/>
      <c r="F68" s="337"/>
      <c r="G68" s="512"/>
      <c r="H68" s="337"/>
      <c r="I68" s="513"/>
      <c r="J68" s="337"/>
    </row>
    <row r="69" spans="1:10">
      <c r="A69" s="616"/>
      <c r="B69" s="422"/>
      <c r="C69" s="423"/>
      <c r="D69" s="423"/>
      <c r="E69" s="422"/>
      <c r="F69" s="337"/>
      <c r="G69" s="512"/>
      <c r="H69" s="337"/>
      <c r="I69" s="513"/>
      <c r="J69" s="337"/>
    </row>
    <row r="70" spans="1:10">
      <c r="A70" s="616"/>
      <c r="B70" s="422"/>
      <c r="C70" s="423"/>
      <c r="D70" s="423"/>
      <c r="E70" s="422"/>
      <c r="F70" s="337"/>
      <c r="G70" s="512"/>
      <c r="H70" s="337"/>
      <c r="I70" s="513"/>
      <c r="J70" s="337"/>
    </row>
    <row r="71" spans="1:10">
      <c r="A71" s="616"/>
      <c r="B71" s="422"/>
      <c r="C71" s="423"/>
      <c r="D71" s="423"/>
      <c r="E71" s="422"/>
      <c r="F71" s="337"/>
      <c r="G71" s="512"/>
      <c r="H71" s="337"/>
      <c r="I71" s="513"/>
      <c r="J71" s="337"/>
    </row>
    <row r="72" spans="1:10">
      <c r="A72" s="616"/>
      <c r="B72" s="422"/>
      <c r="C72" s="423"/>
      <c r="D72" s="423"/>
      <c r="E72" s="422"/>
      <c r="F72" s="337"/>
      <c r="G72" s="512"/>
      <c r="H72" s="337"/>
      <c r="I72" s="513"/>
      <c r="J72" s="337"/>
    </row>
    <row r="73" spans="1:10">
      <c r="A73" s="639"/>
      <c r="B73" s="568"/>
      <c r="C73" s="605"/>
      <c r="D73" s="605"/>
      <c r="E73" s="422"/>
      <c r="F73" s="337"/>
      <c r="G73" s="512"/>
      <c r="H73" s="337"/>
      <c r="I73" s="513"/>
      <c r="J73" s="337"/>
    </row>
    <row r="74" spans="1:10">
      <c r="A74" s="616"/>
      <c r="B74" s="422"/>
      <c r="C74" s="423"/>
      <c r="D74" s="423"/>
      <c r="E74" s="422"/>
      <c r="F74" s="337"/>
      <c r="G74" s="512"/>
      <c r="H74" s="337"/>
      <c r="I74" s="513"/>
      <c r="J74" s="337"/>
    </row>
    <row r="75" spans="1:10">
      <c r="A75" s="616"/>
      <c r="B75" s="422"/>
      <c r="C75" s="423"/>
      <c r="D75" s="423"/>
      <c r="E75" s="422"/>
      <c r="F75" s="337"/>
      <c r="G75" s="512"/>
      <c r="H75" s="337"/>
      <c r="I75" s="513"/>
      <c r="J75" s="337"/>
    </row>
    <row r="76" spans="1:10">
      <c r="A76" s="639"/>
      <c r="B76" s="568"/>
      <c r="C76" s="605"/>
      <c r="D76" s="605"/>
      <c r="E76" s="422"/>
      <c r="F76" s="337"/>
      <c r="G76" s="512"/>
      <c r="H76" s="337"/>
      <c r="I76" s="513"/>
      <c r="J76" s="337"/>
    </row>
    <row r="77" spans="1:10">
      <c r="A77" s="639"/>
      <c r="B77" s="568"/>
      <c r="C77" s="605"/>
      <c r="D77" s="605"/>
      <c r="E77" s="422"/>
      <c r="F77" s="337"/>
      <c r="G77" s="512"/>
      <c r="H77" s="337"/>
      <c r="I77" s="513"/>
      <c r="J77" s="337"/>
    </row>
    <row r="78" spans="1:10">
      <c r="A78" s="639"/>
      <c r="B78" s="568"/>
      <c r="C78" s="605"/>
      <c r="D78" s="605"/>
      <c r="E78" s="422"/>
      <c r="F78" s="337"/>
      <c r="G78" s="512"/>
      <c r="H78" s="337"/>
      <c r="I78" s="513"/>
      <c r="J78" s="337"/>
    </row>
    <row r="79" spans="1:10">
      <c r="A79" s="639"/>
      <c r="B79" s="568"/>
      <c r="C79" s="605"/>
      <c r="D79" s="605"/>
      <c r="E79" s="422"/>
      <c r="F79" s="337"/>
      <c r="G79" s="512"/>
      <c r="H79" s="337"/>
      <c r="I79" s="513"/>
      <c r="J79" s="337"/>
    </row>
    <row r="80" spans="1:10">
      <c r="A80" s="639"/>
      <c r="B80" s="568"/>
      <c r="C80" s="605"/>
      <c r="D80" s="605"/>
      <c r="E80" s="422"/>
      <c r="F80" s="337"/>
      <c r="G80" s="512"/>
      <c r="H80" s="337"/>
      <c r="I80" s="513"/>
      <c r="J80" s="337"/>
    </row>
    <row r="81" spans="1:10">
      <c r="A81" s="616"/>
      <c r="B81" s="422"/>
      <c r="C81" s="423"/>
      <c r="D81" s="423"/>
      <c r="E81" s="422"/>
      <c r="F81" s="337"/>
      <c r="G81" s="512"/>
      <c r="H81" s="337"/>
      <c r="I81" s="513"/>
      <c r="J81" s="337"/>
    </row>
    <row r="82" spans="1:10">
      <c r="A82" s="616"/>
      <c r="B82" s="422"/>
      <c r="C82" s="423"/>
      <c r="D82" s="423"/>
      <c r="E82" s="422"/>
      <c r="F82" s="337"/>
      <c r="G82" s="512"/>
      <c r="H82" s="337"/>
      <c r="I82" s="513"/>
      <c r="J82" s="337"/>
    </row>
    <row r="83" spans="1:10">
      <c r="A83" s="616"/>
      <c r="B83" s="422"/>
      <c r="C83" s="423"/>
      <c r="D83" s="423"/>
      <c r="E83" s="422"/>
      <c r="F83" s="337"/>
      <c r="G83" s="512"/>
      <c r="H83" s="337"/>
      <c r="I83" s="513"/>
      <c r="J83" s="337"/>
    </row>
    <row r="84" spans="1:10">
      <c r="A84" s="616"/>
      <c r="B84" s="422"/>
      <c r="C84" s="423"/>
      <c r="D84" s="423"/>
      <c r="E84" s="422"/>
      <c r="F84" s="337"/>
      <c r="G84" s="512"/>
      <c r="H84" s="337"/>
      <c r="I84" s="513"/>
      <c r="J84" s="337"/>
    </row>
    <row r="85" spans="1:10">
      <c r="A85" s="616"/>
      <c r="B85" s="422"/>
      <c r="C85" s="423"/>
      <c r="D85" s="423"/>
      <c r="E85" s="422"/>
      <c r="F85" s="337"/>
      <c r="G85" s="512"/>
      <c r="H85" s="337"/>
      <c r="I85" s="513"/>
      <c r="J85" s="337"/>
    </row>
    <row r="86" spans="1:10">
      <c r="A86" s="616"/>
      <c r="B86" s="422"/>
      <c r="C86" s="423"/>
      <c r="D86" s="423"/>
      <c r="E86" s="422"/>
      <c r="F86" s="337"/>
      <c r="G86" s="512"/>
      <c r="H86" s="337"/>
      <c r="I86" s="513"/>
      <c r="J86" s="337"/>
    </row>
    <row r="87" spans="1:10">
      <c r="A87" s="616"/>
      <c r="B87" s="422"/>
      <c r="C87" s="423"/>
      <c r="D87" s="423"/>
      <c r="E87" s="422"/>
      <c r="F87" s="337"/>
      <c r="G87" s="512"/>
      <c r="H87" s="337"/>
      <c r="I87" s="513"/>
      <c r="J87" s="337"/>
    </row>
    <row r="88" spans="1:10">
      <c r="A88" s="616"/>
      <c r="B88" s="422"/>
      <c r="C88" s="423"/>
      <c r="D88" s="423"/>
      <c r="E88" s="422"/>
      <c r="F88" s="337"/>
      <c r="G88" s="512"/>
      <c r="H88" s="337"/>
      <c r="I88" s="513"/>
      <c r="J88" s="337"/>
    </row>
    <row r="89" spans="1:10">
      <c r="A89" s="616"/>
      <c r="B89" s="422"/>
      <c r="C89" s="423"/>
      <c r="D89" s="423"/>
      <c r="E89" s="422"/>
      <c r="F89" s="337"/>
      <c r="G89" s="512"/>
      <c r="H89" s="337"/>
      <c r="I89" s="513"/>
      <c r="J89" s="337"/>
    </row>
    <row r="90" spans="1:10">
      <c r="A90" s="616"/>
      <c r="B90" s="422"/>
      <c r="C90" s="423"/>
      <c r="D90" s="423"/>
      <c r="E90" s="422"/>
      <c r="F90" s="337"/>
      <c r="G90" s="512"/>
      <c r="H90" s="337"/>
      <c r="I90" s="513"/>
      <c r="J90" s="337"/>
    </row>
    <row r="91" spans="1:10">
      <c r="A91" s="639"/>
      <c r="B91" s="568"/>
      <c r="C91" s="605"/>
      <c r="D91" s="605"/>
      <c r="E91" s="422"/>
      <c r="F91" s="337"/>
      <c r="G91" s="512"/>
      <c r="H91" s="337"/>
      <c r="I91" s="513"/>
      <c r="J91" s="337"/>
    </row>
    <row r="92" spans="1:10">
      <c r="A92" s="616"/>
      <c r="B92" s="422"/>
      <c r="C92" s="423"/>
      <c r="D92" s="423"/>
      <c r="E92" s="422"/>
      <c r="F92" s="337"/>
      <c r="G92" s="512"/>
      <c r="H92" s="337"/>
      <c r="I92" s="513"/>
      <c r="J92" s="337"/>
    </row>
    <row r="93" spans="1:10">
      <c r="A93" s="616"/>
      <c r="B93" s="422"/>
      <c r="C93" s="423"/>
      <c r="D93" s="423"/>
      <c r="E93" s="422"/>
      <c r="F93" s="337"/>
      <c r="G93" s="512"/>
      <c r="H93" s="337"/>
      <c r="I93" s="513"/>
      <c r="J93" s="337"/>
    </row>
    <row r="94" spans="1:10">
      <c r="A94" s="616"/>
      <c r="B94" s="422"/>
      <c r="C94" s="423"/>
      <c r="D94" s="423"/>
      <c r="E94" s="422"/>
      <c r="F94" s="337"/>
      <c r="G94" s="512"/>
      <c r="H94" s="337"/>
      <c r="I94" s="513"/>
      <c r="J94" s="337"/>
    </row>
    <row r="95" spans="1:10">
      <c r="A95" s="616"/>
      <c r="B95" s="422"/>
      <c r="C95" s="423"/>
      <c r="D95" s="423"/>
      <c r="E95" s="422"/>
      <c r="F95" s="337"/>
      <c r="G95" s="512"/>
      <c r="H95" s="337"/>
      <c r="I95" s="513"/>
      <c r="J95" s="337"/>
    </row>
    <row r="96" spans="1:10">
      <c r="A96" s="616"/>
      <c r="B96" s="422"/>
      <c r="C96" s="423"/>
      <c r="D96" s="423"/>
      <c r="E96" s="422"/>
      <c r="F96" s="337"/>
      <c r="G96" s="512"/>
      <c r="H96" s="337"/>
      <c r="I96" s="513"/>
      <c r="J96" s="337"/>
    </row>
    <row r="97" spans="1:10">
      <c r="A97" s="616"/>
      <c r="B97" s="422"/>
      <c r="C97" s="423"/>
      <c r="D97" s="423"/>
      <c r="E97" s="422"/>
      <c r="F97" s="337"/>
      <c r="G97" s="512"/>
      <c r="H97" s="337"/>
      <c r="I97" s="513"/>
      <c r="J97" s="337"/>
    </row>
    <row r="98" spans="1:10">
      <c r="A98" s="616"/>
      <c r="B98" s="422"/>
      <c r="C98" s="423"/>
      <c r="D98" s="423"/>
      <c r="E98" s="422"/>
      <c r="F98" s="337"/>
      <c r="G98" s="512"/>
      <c r="H98" s="337"/>
      <c r="I98" s="513"/>
      <c r="J98" s="337"/>
    </row>
    <row r="99" spans="1:10">
      <c r="A99" s="616"/>
      <c r="B99" s="422"/>
      <c r="C99" s="423"/>
      <c r="D99" s="423"/>
      <c r="E99" s="422"/>
      <c r="F99" s="337"/>
      <c r="G99" s="512"/>
      <c r="H99" s="337"/>
      <c r="I99" s="513"/>
      <c r="J99" s="337"/>
    </row>
    <row r="100" spans="1:10">
      <c r="A100" s="616"/>
      <c r="B100" s="422"/>
      <c r="C100" s="423"/>
      <c r="D100" s="423"/>
      <c r="E100" s="422"/>
      <c r="F100" s="337"/>
      <c r="G100" s="512"/>
      <c r="H100" s="337"/>
      <c r="I100" s="513"/>
      <c r="J100" s="337"/>
    </row>
    <row r="101" spans="1:10">
      <c r="A101" s="616"/>
      <c r="B101" s="422"/>
      <c r="C101" s="423"/>
      <c r="D101" s="423"/>
      <c r="E101" s="422"/>
      <c r="F101" s="337"/>
      <c r="G101" s="512"/>
      <c r="H101" s="337"/>
      <c r="I101" s="513"/>
      <c r="J101" s="337"/>
    </row>
    <row r="102" spans="1:10">
      <c r="A102" s="616"/>
      <c r="B102" s="422"/>
      <c r="C102" s="423"/>
      <c r="D102" s="423"/>
      <c r="E102" s="422"/>
      <c r="F102" s="337"/>
      <c r="G102" s="512"/>
      <c r="H102" s="337"/>
      <c r="I102" s="513"/>
      <c r="J102" s="337"/>
    </row>
    <row r="103" spans="1:10">
      <c r="A103" s="616"/>
      <c r="B103" s="422"/>
      <c r="C103" s="423"/>
      <c r="D103" s="423"/>
      <c r="E103" s="422"/>
      <c r="F103" s="337"/>
      <c r="G103" s="512"/>
      <c r="H103" s="337"/>
      <c r="I103" s="513"/>
      <c r="J103" s="337"/>
    </row>
    <row r="104" spans="1:10">
      <c r="A104" s="616"/>
      <c r="B104" s="422"/>
      <c r="C104" s="423"/>
      <c r="D104" s="423"/>
      <c r="E104" s="422"/>
      <c r="F104" s="337"/>
      <c r="G104" s="512"/>
      <c r="H104" s="337"/>
      <c r="I104" s="513"/>
      <c r="J104" s="337"/>
    </row>
    <row r="105" spans="1:10">
      <c r="A105" s="616"/>
      <c r="B105" s="422"/>
      <c r="C105" s="423"/>
      <c r="D105" s="423"/>
      <c r="E105" s="422"/>
      <c r="F105" s="337"/>
      <c r="G105" s="512"/>
      <c r="H105" s="337"/>
      <c r="I105" s="513"/>
      <c r="J105" s="337"/>
    </row>
    <row r="106" spans="1:10">
      <c r="A106" s="616"/>
      <c r="B106" s="422"/>
      <c r="C106" s="423"/>
      <c r="D106" s="423"/>
      <c r="E106" s="422"/>
      <c r="F106" s="337"/>
      <c r="G106" s="512"/>
      <c r="H106" s="337"/>
      <c r="I106" s="513"/>
      <c r="J106" s="337"/>
    </row>
    <row r="107" spans="1:10">
      <c r="A107" s="616"/>
      <c r="B107" s="422"/>
      <c r="C107" s="423"/>
      <c r="D107" s="423"/>
      <c r="E107" s="422"/>
      <c r="F107" s="337"/>
      <c r="G107" s="512"/>
      <c r="H107" s="337"/>
      <c r="I107" s="513"/>
      <c r="J107" s="337"/>
    </row>
    <row r="108" spans="1:10">
      <c r="A108" s="616"/>
      <c r="B108" s="422"/>
      <c r="C108" s="423"/>
      <c r="D108" s="423"/>
      <c r="E108" s="422"/>
      <c r="F108" s="337"/>
      <c r="G108" s="512"/>
      <c r="H108" s="337"/>
      <c r="I108" s="513"/>
      <c r="J108" s="337"/>
    </row>
    <row r="109" spans="1:10">
      <c r="A109" s="616"/>
      <c r="B109" s="422"/>
      <c r="C109" s="423"/>
      <c r="D109" s="423"/>
      <c r="E109" s="422"/>
      <c r="F109" s="337"/>
      <c r="G109" s="512"/>
      <c r="H109" s="337"/>
      <c r="I109" s="513"/>
      <c r="J109" s="337"/>
    </row>
    <row r="110" spans="1:10">
      <c r="A110" s="616"/>
      <c r="B110" s="422"/>
      <c r="C110" s="423"/>
      <c r="D110" s="423"/>
      <c r="E110" s="422"/>
      <c r="F110" s="337"/>
      <c r="G110" s="512"/>
      <c r="H110" s="337"/>
      <c r="I110" s="513"/>
      <c r="J110" s="337"/>
    </row>
    <row r="111" spans="1:10">
      <c r="A111" s="616"/>
      <c r="B111" s="422"/>
      <c r="C111" s="423"/>
      <c r="D111" s="423"/>
      <c r="E111" s="422"/>
      <c r="F111" s="337"/>
      <c r="G111" s="512"/>
      <c r="H111" s="337"/>
      <c r="I111" s="513"/>
      <c r="J111" s="337"/>
    </row>
    <row r="112" spans="1:10">
      <c r="A112" s="616"/>
      <c r="B112" s="422"/>
      <c r="C112" s="423"/>
      <c r="D112" s="423"/>
      <c r="E112" s="422"/>
      <c r="F112" s="337"/>
      <c r="G112" s="512"/>
      <c r="H112" s="337"/>
      <c r="I112" s="513"/>
      <c r="J112" s="337"/>
    </row>
    <row r="113" spans="1:10">
      <c r="A113" s="616"/>
      <c r="B113" s="422"/>
      <c r="C113" s="423"/>
      <c r="D113" s="423"/>
      <c r="E113" s="422"/>
      <c r="F113" s="337"/>
      <c r="G113" s="512"/>
      <c r="H113" s="337"/>
      <c r="I113" s="513"/>
      <c r="J113" s="337"/>
    </row>
    <row r="114" spans="1:10">
      <c r="A114" s="616"/>
      <c r="B114" s="422"/>
      <c r="C114" s="423"/>
      <c r="D114" s="423"/>
      <c r="E114" s="422"/>
      <c r="F114" s="337"/>
      <c r="G114" s="512"/>
      <c r="H114" s="337"/>
      <c r="I114" s="513"/>
      <c r="J114" s="337"/>
    </row>
    <row r="115" spans="1:10">
      <c r="A115" s="616"/>
      <c r="B115" s="422"/>
      <c r="C115" s="423"/>
      <c r="D115" s="423"/>
      <c r="E115" s="422"/>
      <c r="F115" s="337"/>
      <c r="G115" s="512"/>
      <c r="H115" s="337"/>
      <c r="I115" s="513"/>
      <c r="J115" s="337"/>
    </row>
    <row r="116" spans="1:10">
      <c r="A116" s="616"/>
      <c r="B116" s="422"/>
      <c r="C116" s="423"/>
      <c r="D116" s="423"/>
      <c r="E116" s="422"/>
      <c r="F116" s="337"/>
      <c r="G116" s="512"/>
      <c r="H116" s="337"/>
      <c r="I116" s="513"/>
      <c r="J116" s="337"/>
    </row>
    <row r="117" spans="1:10">
      <c r="A117" s="616"/>
      <c r="B117" s="422"/>
      <c r="C117" s="423"/>
      <c r="D117" s="423"/>
      <c r="E117" s="422"/>
      <c r="F117" s="337"/>
      <c r="G117" s="512"/>
      <c r="H117" s="337"/>
      <c r="I117" s="513"/>
      <c r="J117" s="337"/>
    </row>
    <row r="118" spans="1:10">
      <c r="A118" s="616"/>
      <c r="B118" s="422"/>
      <c r="C118" s="423"/>
      <c r="D118" s="423"/>
      <c r="E118" s="422"/>
      <c r="F118" s="337"/>
      <c r="G118" s="512"/>
      <c r="H118" s="337"/>
      <c r="I118" s="513"/>
      <c r="J118" s="337"/>
    </row>
    <row r="119" spans="1:10">
      <c r="A119" s="616"/>
      <c r="B119" s="422"/>
      <c r="C119" s="423"/>
      <c r="D119" s="423"/>
      <c r="E119" s="422"/>
      <c r="F119" s="337"/>
      <c r="G119" s="512"/>
      <c r="H119" s="337"/>
      <c r="I119" s="513"/>
      <c r="J119" s="337"/>
    </row>
    <row r="120" spans="1:10">
      <c r="A120" s="616"/>
      <c r="B120" s="422"/>
      <c r="C120" s="423"/>
      <c r="D120" s="423"/>
      <c r="E120" s="422"/>
      <c r="F120" s="337"/>
      <c r="G120" s="512"/>
      <c r="H120" s="337"/>
      <c r="I120" s="513"/>
      <c r="J120" s="337"/>
    </row>
    <row r="121" spans="1:10">
      <c r="A121" s="616"/>
      <c r="B121" s="422"/>
      <c r="C121" s="423"/>
      <c r="D121" s="423"/>
      <c r="E121" s="422"/>
      <c r="F121" s="337"/>
      <c r="G121" s="512"/>
      <c r="H121" s="337"/>
      <c r="I121" s="513"/>
      <c r="J121" s="337"/>
    </row>
    <row r="122" spans="1:10">
      <c r="A122" s="616"/>
      <c r="B122" s="422"/>
      <c r="C122" s="423"/>
      <c r="D122" s="423"/>
      <c r="E122" s="422"/>
      <c r="F122" s="337"/>
      <c r="G122" s="512"/>
      <c r="H122" s="337"/>
      <c r="I122" s="513"/>
      <c r="J122" s="337"/>
    </row>
    <row r="123" spans="1:10">
      <c r="A123" s="616"/>
      <c r="B123" s="422"/>
      <c r="C123" s="423"/>
      <c r="D123" s="423"/>
      <c r="E123" s="422"/>
      <c r="F123" s="337"/>
      <c r="G123" s="512"/>
      <c r="H123" s="337"/>
      <c r="I123" s="513"/>
      <c r="J123" s="337"/>
    </row>
    <row r="124" spans="1:10">
      <c r="A124" s="616"/>
      <c r="B124" s="422"/>
      <c r="C124" s="423"/>
      <c r="D124" s="423"/>
      <c r="E124" s="422"/>
      <c r="F124" s="337"/>
      <c r="G124" s="512"/>
      <c r="H124" s="337"/>
      <c r="I124" s="513"/>
      <c r="J124" s="337"/>
    </row>
    <row r="125" spans="1:10">
      <c r="A125" s="616"/>
      <c r="B125" s="422"/>
      <c r="C125" s="423"/>
      <c r="D125" s="423"/>
      <c r="E125" s="422"/>
      <c r="F125" s="337"/>
      <c r="G125" s="512"/>
      <c r="H125" s="337"/>
      <c r="I125" s="513"/>
      <c r="J125" s="337"/>
    </row>
    <row r="126" spans="1:10">
      <c r="A126" s="616"/>
      <c r="B126" s="422"/>
      <c r="C126" s="423"/>
      <c r="D126" s="423"/>
      <c r="E126" s="422"/>
      <c r="F126" s="337"/>
      <c r="G126" s="512"/>
      <c r="H126" s="337"/>
      <c r="I126" s="513"/>
      <c r="J126" s="337"/>
    </row>
    <row r="127" spans="1:10">
      <c r="A127" s="616"/>
      <c r="B127" s="422"/>
      <c r="C127" s="423"/>
      <c r="D127" s="423"/>
      <c r="E127" s="422"/>
      <c r="F127" s="337"/>
      <c r="G127" s="512"/>
      <c r="H127" s="337"/>
      <c r="I127" s="513"/>
      <c r="J127" s="337"/>
    </row>
    <row r="128" spans="1:10">
      <c r="A128" s="616"/>
      <c r="B128" s="422"/>
      <c r="C128" s="423"/>
      <c r="D128" s="423"/>
      <c r="E128" s="422"/>
      <c r="F128" s="337"/>
      <c r="G128" s="512"/>
      <c r="H128" s="337"/>
      <c r="I128" s="513"/>
      <c r="J128" s="337"/>
    </row>
    <row r="129" spans="1:10">
      <c r="A129" s="616"/>
      <c r="B129" s="422"/>
      <c r="C129" s="423"/>
      <c r="D129" s="423"/>
      <c r="E129" s="422"/>
      <c r="F129" s="337"/>
      <c r="G129" s="512"/>
      <c r="H129" s="337"/>
      <c r="I129" s="513"/>
      <c r="J129" s="337"/>
    </row>
    <row r="130" spans="1:10">
      <c r="A130" s="616"/>
      <c r="B130" s="422"/>
      <c r="C130" s="423"/>
      <c r="D130" s="423"/>
      <c r="E130" s="422"/>
      <c r="F130" s="337"/>
      <c r="G130" s="512"/>
      <c r="H130" s="337"/>
      <c r="I130" s="513"/>
      <c r="J130" s="337"/>
    </row>
    <row r="131" spans="1:10">
      <c r="A131" s="616"/>
      <c r="B131" s="422"/>
      <c r="C131" s="423"/>
      <c r="D131" s="423"/>
      <c r="E131" s="422"/>
      <c r="F131" s="337"/>
      <c r="G131" s="512"/>
      <c r="H131" s="337"/>
      <c r="I131" s="513"/>
      <c r="J131" s="337"/>
    </row>
    <row r="132" spans="1:10">
      <c r="A132" s="616"/>
      <c r="B132" s="422"/>
      <c r="C132" s="423"/>
      <c r="D132" s="423"/>
      <c r="E132" s="422"/>
      <c r="F132" s="337"/>
      <c r="G132" s="512"/>
      <c r="H132" s="337"/>
      <c r="I132" s="513"/>
      <c r="J132" s="337"/>
    </row>
    <row r="133" spans="1:10">
      <c r="A133" s="616"/>
      <c r="B133" s="422"/>
      <c r="C133" s="423"/>
      <c r="D133" s="423"/>
      <c r="E133" s="422"/>
      <c r="F133" s="337"/>
      <c r="G133" s="512"/>
      <c r="H133" s="337"/>
      <c r="I133" s="513"/>
      <c r="J133" s="337"/>
    </row>
    <row r="134" spans="1:10">
      <c r="A134" s="616"/>
      <c r="B134" s="422"/>
      <c r="C134" s="423"/>
      <c r="D134" s="423"/>
      <c r="E134" s="422"/>
      <c r="F134" s="337"/>
      <c r="G134" s="512"/>
      <c r="H134" s="337"/>
      <c r="I134" s="513"/>
      <c r="J134" s="337"/>
    </row>
    <row r="135" spans="1:10">
      <c r="A135" s="616"/>
      <c r="B135" s="422"/>
      <c r="C135" s="423"/>
      <c r="D135" s="423"/>
      <c r="E135" s="422"/>
      <c r="F135" s="337"/>
      <c r="G135" s="512"/>
      <c r="H135" s="337"/>
      <c r="I135" s="513"/>
      <c r="J135" s="337"/>
    </row>
    <row r="136" spans="1:10">
      <c r="A136" s="616"/>
      <c r="B136" s="422"/>
      <c r="C136" s="423"/>
      <c r="D136" s="423"/>
      <c r="E136" s="422"/>
      <c r="F136" s="337"/>
      <c r="G136" s="512"/>
      <c r="H136" s="337"/>
      <c r="I136" s="513"/>
      <c r="J136" s="337"/>
    </row>
    <row r="137" spans="1:10">
      <c r="A137" s="616"/>
      <c r="B137" s="422"/>
      <c r="C137" s="423"/>
      <c r="D137" s="423"/>
      <c r="E137" s="422"/>
      <c r="F137" s="337"/>
      <c r="G137" s="512"/>
      <c r="H137" s="337"/>
      <c r="I137" s="513"/>
      <c r="J137" s="337"/>
    </row>
    <row r="138" spans="1:10">
      <c r="A138" s="616"/>
      <c r="B138" s="422"/>
      <c r="C138" s="423"/>
      <c r="D138" s="423"/>
      <c r="E138" s="422"/>
      <c r="F138" s="337"/>
      <c r="G138" s="512"/>
      <c r="H138" s="337"/>
      <c r="I138" s="513"/>
      <c r="J138" s="337"/>
    </row>
    <row r="139" spans="1:10">
      <c r="A139" s="616"/>
      <c r="B139" s="422"/>
      <c r="C139" s="423"/>
      <c r="D139" s="423"/>
      <c r="E139" s="422"/>
      <c r="F139" s="337"/>
      <c r="G139" s="512"/>
      <c r="H139" s="337"/>
      <c r="I139" s="513"/>
      <c r="J139" s="337"/>
    </row>
    <row r="140" spans="1:10">
      <c r="A140" s="616"/>
      <c r="B140" s="422"/>
      <c r="C140" s="423"/>
      <c r="D140" s="423"/>
      <c r="E140" s="422"/>
      <c r="F140" s="337"/>
      <c r="G140" s="512"/>
      <c r="H140" s="337"/>
      <c r="I140" s="513"/>
      <c r="J140" s="337"/>
    </row>
    <row r="141" spans="1:10">
      <c r="A141" s="616"/>
      <c r="B141" s="422"/>
      <c r="C141" s="423"/>
      <c r="D141" s="423"/>
      <c r="E141" s="422"/>
      <c r="F141" s="337"/>
      <c r="G141" s="512"/>
      <c r="H141" s="337"/>
      <c r="I141" s="513"/>
      <c r="J141" s="337"/>
    </row>
    <row r="142" spans="1:10">
      <c r="A142" s="616"/>
      <c r="B142" s="422"/>
      <c r="C142" s="423"/>
      <c r="D142" s="423"/>
      <c r="E142" s="422"/>
      <c r="F142" s="337"/>
      <c r="G142" s="512"/>
      <c r="H142" s="337"/>
      <c r="I142" s="513"/>
      <c r="J142" s="337"/>
    </row>
    <row r="143" spans="1:10">
      <c r="A143" s="616"/>
      <c r="B143" s="422"/>
      <c r="C143" s="423"/>
      <c r="D143" s="423"/>
      <c r="E143" s="422"/>
      <c r="F143" s="337"/>
      <c r="G143" s="512"/>
      <c r="H143" s="337"/>
      <c r="I143" s="513"/>
      <c r="J143" s="337"/>
    </row>
    <row r="144" spans="1:10">
      <c r="A144" s="616"/>
      <c r="B144" s="422"/>
      <c r="C144" s="423"/>
      <c r="D144" s="423"/>
      <c r="E144" s="422"/>
      <c r="F144" s="337"/>
      <c r="G144" s="512"/>
      <c r="H144" s="337"/>
      <c r="I144" s="513"/>
      <c r="J144" s="337"/>
    </row>
    <row r="145" spans="1:10">
      <c r="A145" s="616"/>
      <c r="B145" s="422"/>
      <c r="C145" s="423"/>
      <c r="D145" s="423"/>
      <c r="E145" s="422"/>
      <c r="F145" s="337"/>
      <c r="G145" s="512"/>
      <c r="H145" s="337"/>
      <c r="I145" s="513"/>
      <c r="J145" s="337"/>
    </row>
    <row r="146" spans="1:10">
      <c r="A146" s="616"/>
      <c r="B146" s="422"/>
      <c r="C146" s="423"/>
      <c r="D146" s="423"/>
      <c r="E146" s="422"/>
      <c r="F146" s="337"/>
      <c r="G146" s="512"/>
      <c r="H146" s="337"/>
      <c r="I146" s="513"/>
      <c r="J146" s="337"/>
    </row>
    <row r="147" spans="1:10">
      <c r="A147" s="616"/>
      <c r="B147" s="422"/>
      <c r="C147" s="423"/>
      <c r="D147" s="423"/>
      <c r="E147" s="422"/>
      <c r="F147" s="337"/>
      <c r="G147" s="512"/>
      <c r="H147" s="337"/>
      <c r="I147" s="513"/>
      <c r="J147" s="337"/>
    </row>
    <row r="148" spans="1:10">
      <c r="A148" s="617"/>
      <c r="B148" s="618"/>
      <c r="C148" s="619"/>
      <c r="D148" s="619"/>
      <c r="E148" s="422"/>
      <c r="F148" s="337"/>
      <c r="G148" s="512"/>
      <c r="H148" s="337"/>
      <c r="I148" s="513"/>
      <c r="J148" s="337"/>
    </row>
    <row r="149" spans="1:10">
      <c r="A149" s="616"/>
      <c r="B149" s="422"/>
      <c r="C149" s="423"/>
      <c r="D149" s="423"/>
      <c r="E149" s="422"/>
      <c r="F149" s="337"/>
      <c r="G149" s="512"/>
      <c r="H149" s="337"/>
      <c r="I149" s="513"/>
      <c r="J149" s="337"/>
    </row>
    <row r="150" spans="1:10">
      <c r="A150" s="616"/>
      <c r="B150" s="422"/>
      <c r="C150" s="423"/>
      <c r="D150" s="423"/>
      <c r="E150" s="422"/>
      <c r="F150" s="337"/>
      <c r="G150" s="512"/>
      <c r="H150" s="337"/>
      <c r="I150" s="513"/>
      <c r="J150" s="337"/>
    </row>
    <row r="151" spans="1:10">
      <c r="A151" s="616"/>
      <c r="B151" s="422"/>
      <c r="C151" s="423"/>
      <c r="D151" s="423"/>
      <c r="E151" s="422"/>
      <c r="F151" s="337"/>
      <c r="G151" s="512"/>
      <c r="H151" s="337"/>
      <c r="I151" s="513"/>
      <c r="J151" s="337"/>
    </row>
    <row r="152" spans="1:10">
      <c r="A152" s="616"/>
      <c r="B152" s="422"/>
      <c r="C152" s="423"/>
      <c r="D152" s="423"/>
      <c r="E152" s="422"/>
      <c r="F152" s="337"/>
      <c r="G152" s="512"/>
      <c r="H152" s="337"/>
      <c r="I152" s="513"/>
      <c r="J152" s="337"/>
    </row>
    <row r="153" spans="1:10">
      <c r="A153" s="616"/>
      <c r="B153" s="422"/>
      <c r="C153" s="423"/>
      <c r="D153" s="423"/>
      <c r="E153" s="422"/>
      <c r="F153" s="337"/>
      <c r="G153" s="512"/>
      <c r="H153" s="337"/>
      <c r="I153" s="513"/>
      <c r="J153" s="337"/>
    </row>
    <row r="154" spans="1:10">
      <c r="A154" s="616"/>
      <c r="B154" s="422"/>
      <c r="C154" s="423"/>
      <c r="D154" s="423"/>
      <c r="E154" s="422"/>
      <c r="F154" s="337"/>
      <c r="G154" s="512"/>
      <c r="H154" s="337"/>
      <c r="I154" s="513"/>
      <c r="J154" s="337"/>
    </row>
    <row r="155" spans="1:10">
      <c r="A155" s="616"/>
      <c r="B155" s="422"/>
      <c r="C155" s="423"/>
      <c r="D155" s="423"/>
      <c r="E155" s="422"/>
      <c r="F155" s="337"/>
      <c r="G155" s="512"/>
      <c r="H155" s="337"/>
      <c r="I155" s="513"/>
      <c r="J155" s="337"/>
    </row>
    <row r="156" spans="1:10">
      <c r="A156" s="616"/>
      <c r="B156" s="422"/>
      <c r="C156" s="423"/>
      <c r="D156" s="423"/>
      <c r="E156" s="422"/>
      <c r="F156" s="337"/>
      <c r="G156" s="512"/>
      <c r="H156" s="337"/>
      <c r="I156" s="513"/>
      <c r="J156" s="337"/>
    </row>
    <row r="157" spans="1:10">
      <c r="A157" s="616"/>
      <c r="B157" s="422"/>
      <c r="C157" s="423"/>
      <c r="D157" s="423"/>
      <c r="E157" s="422"/>
      <c r="F157" s="337"/>
      <c r="G157" s="512"/>
      <c r="H157" s="337"/>
      <c r="I157" s="513"/>
      <c r="J157" s="337"/>
    </row>
    <row r="158" spans="1:10">
      <c r="A158" s="616"/>
      <c r="B158" s="422"/>
      <c r="C158" s="423"/>
      <c r="D158" s="423"/>
      <c r="E158" s="422"/>
      <c r="F158" s="337"/>
      <c r="G158" s="512"/>
      <c r="H158" s="337"/>
      <c r="I158" s="513"/>
      <c r="J158" s="337"/>
    </row>
    <row r="159" spans="1:10">
      <c r="A159" s="616"/>
      <c r="B159" s="422"/>
      <c r="C159" s="423"/>
      <c r="D159" s="423"/>
      <c r="E159" s="422"/>
      <c r="F159" s="337"/>
      <c r="G159" s="512"/>
      <c r="H159" s="337"/>
      <c r="I159" s="513"/>
      <c r="J159" s="337"/>
    </row>
    <row r="160" spans="1:10">
      <c r="A160" s="616"/>
      <c r="B160" s="422"/>
      <c r="C160" s="423"/>
      <c r="D160" s="423"/>
      <c r="E160" s="422"/>
      <c r="F160" s="337"/>
      <c r="G160" s="512"/>
      <c r="H160" s="337"/>
      <c r="I160" s="513"/>
      <c r="J160" s="337"/>
    </row>
    <row r="161" spans="1:10">
      <c r="A161" s="616"/>
      <c r="B161" s="422"/>
      <c r="C161" s="423"/>
      <c r="D161" s="423"/>
      <c r="E161" s="422"/>
      <c r="F161" s="337"/>
      <c r="G161" s="512"/>
      <c r="H161" s="337"/>
      <c r="I161" s="513"/>
      <c r="J161" s="337"/>
    </row>
    <row r="162" spans="1:10">
      <c r="A162" s="616"/>
      <c r="B162" s="422"/>
      <c r="C162" s="423"/>
      <c r="D162" s="423"/>
      <c r="E162" s="422"/>
      <c r="F162" s="337"/>
      <c r="G162" s="512"/>
      <c r="H162" s="337"/>
      <c r="I162" s="513"/>
      <c r="J162" s="337"/>
    </row>
    <row r="163" spans="1:10">
      <c r="A163" s="616"/>
      <c r="B163" s="422"/>
      <c r="C163" s="423"/>
      <c r="D163" s="423"/>
      <c r="E163" s="422"/>
      <c r="F163" s="337"/>
      <c r="G163" s="512"/>
      <c r="H163" s="337"/>
      <c r="I163" s="513"/>
      <c r="J163" s="337"/>
    </row>
    <row r="164" spans="1:10">
      <c r="A164" s="616"/>
      <c r="B164" s="422"/>
      <c r="C164" s="423"/>
      <c r="D164" s="423"/>
      <c r="E164" s="422"/>
      <c r="F164" s="337"/>
      <c r="G164" s="512"/>
      <c r="H164" s="337"/>
      <c r="I164" s="513"/>
      <c r="J164" s="337"/>
    </row>
    <row r="165" spans="1:10">
      <c r="A165" s="616"/>
      <c r="B165" s="422"/>
      <c r="C165" s="423"/>
      <c r="D165" s="423"/>
      <c r="E165" s="422"/>
      <c r="F165" s="337"/>
      <c r="G165" s="512"/>
      <c r="H165" s="337"/>
      <c r="I165" s="513"/>
      <c r="J165" s="337"/>
    </row>
    <row r="166" spans="1:10">
      <c r="A166" s="616"/>
      <c r="B166" s="422"/>
      <c r="C166" s="423"/>
      <c r="D166" s="423"/>
      <c r="E166" s="422"/>
      <c r="F166" s="337"/>
      <c r="G166" s="512"/>
      <c r="H166" s="337"/>
      <c r="I166" s="513"/>
      <c r="J166" s="337"/>
    </row>
    <row r="167" spans="1:10">
      <c r="A167" s="643"/>
      <c r="B167" s="644"/>
      <c r="C167" s="645"/>
      <c r="D167" s="645"/>
      <c r="E167" s="422"/>
      <c r="F167" s="337"/>
      <c r="G167" s="512"/>
      <c r="H167" s="337"/>
      <c r="I167" s="513"/>
      <c r="J167" s="337"/>
    </row>
    <row r="168" spans="1:10">
      <c r="A168" s="616"/>
      <c r="B168" s="422"/>
      <c r="C168" s="423"/>
      <c r="D168" s="423"/>
      <c r="E168" s="422"/>
      <c r="F168" s="337"/>
      <c r="G168" s="512"/>
      <c r="H168" s="337"/>
      <c r="I168" s="513"/>
      <c r="J168" s="337"/>
    </row>
    <row r="169" spans="1:10">
      <c r="A169" s="616"/>
      <c r="B169" s="422"/>
      <c r="C169" s="423"/>
      <c r="D169" s="423"/>
      <c r="E169" s="422"/>
      <c r="F169" s="337"/>
      <c r="G169" s="512"/>
      <c r="H169" s="337"/>
      <c r="I169" s="513"/>
      <c r="J169" s="337"/>
    </row>
    <row r="170" spans="1:10">
      <c r="A170" s="616"/>
      <c r="B170" s="422"/>
      <c r="C170" s="423"/>
      <c r="D170" s="423"/>
      <c r="E170" s="422"/>
      <c r="F170" s="337"/>
      <c r="G170" s="512"/>
      <c r="H170" s="337"/>
      <c r="I170" s="513"/>
      <c r="J170" s="337"/>
    </row>
    <row r="171" spans="1:10">
      <c r="A171" s="616"/>
      <c r="B171" s="422"/>
      <c r="C171" s="423"/>
      <c r="D171" s="423"/>
      <c r="E171" s="422"/>
      <c r="F171" s="337"/>
      <c r="G171" s="512"/>
      <c r="H171" s="337"/>
      <c r="I171" s="513"/>
      <c r="J171" s="337"/>
    </row>
    <row r="172" spans="1:10">
      <c r="A172" s="616"/>
      <c r="B172" s="422"/>
      <c r="C172" s="423"/>
      <c r="D172" s="423"/>
      <c r="E172" s="422"/>
      <c r="F172" s="337"/>
      <c r="G172" s="512"/>
      <c r="H172" s="337"/>
      <c r="I172" s="513"/>
      <c r="J172" s="337"/>
    </row>
    <row r="173" spans="1:10">
      <c r="A173" s="616"/>
      <c r="B173" s="422"/>
      <c r="C173" s="423"/>
      <c r="D173" s="423"/>
      <c r="E173" s="422"/>
      <c r="F173" s="337"/>
      <c r="G173" s="512"/>
      <c r="H173" s="337"/>
      <c r="I173" s="513"/>
      <c r="J173" s="337"/>
    </row>
    <row r="174" spans="1:10">
      <c r="A174" s="616"/>
      <c r="B174" s="422"/>
      <c r="C174" s="423"/>
      <c r="D174" s="423"/>
      <c r="E174" s="422"/>
      <c r="F174" s="337"/>
      <c r="G174" s="512"/>
      <c r="H174" s="337"/>
      <c r="I174" s="513"/>
      <c r="J174" s="337"/>
    </row>
    <row r="175" spans="1:10">
      <c r="A175" s="616"/>
      <c r="B175" s="422"/>
      <c r="C175" s="423"/>
      <c r="D175" s="423"/>
      <c r="E175" s="422"/>
      <c r="F175" s="337"/>
      <c r="G175" s="512"/>
      <c r="H175" s="337"/>
      <c r="I175" s="513"/>
      <c r="J175" s="337"/>
    </row>
    <row r="176" spans="1:10">
      <c r="A176" s="616"/>
      <c r="B176" s="422"/>
      <c r="C176" s="423"/>
      <c r="D176" s="423"/>
      <c r="E176" s="422"/>
      <c r="F176" s="337"/>
      <c r="G176" s="512"/>
      <c r="H176" s="337"/>
      <c r="I176" s="513"/>
      <c r="J176" s="337"/>
    </row>
    <row r="177" spans="1:10">
      <c r="A177" s="616"/>
      <c r="B177" s="422"/>
      <c r="C177" s="423"/>
      <c r="D177" s="423"/>
      <c r="E177" s="422"/>
      <c r="F177" s="337"/>
      <c r="G177" s="512"/>
      <c r="H177" s="337"/>
      <c r="I177" s="513"/>
      <c r="J177" s="337"/>
    </row>
    <row r="178" spans="1:10">
      <c r="A178" s="616"/>
      <c r="B178" s="422"/>
      <c r="C178" s="423"/>
      <c r="D178" s="423"/>
      <c r="E178" s="422"/>
      <c r="F178" s="337"/>
      <c r="G178" s="512"/>
      <c r="H178" s="337"/>
      <c r="I178" s="513"/>
      <c r="J178" s="337"/>
    </row>
    <row r="179" spans="1:10">
      <c r="A179" s="616"/>
      <c r="B179" s="422"/>
      <c r="C179" s="423"/>
      <c r="D179" s="423"/>
      <c r="E179" s="422"/>
      <c r="F179" s="337"/>
      <c r="G179" s="512"/>
      <c r="H179" s="337"/>
      <c r="I179" s="513"/>
      <c r="J179" s="337"/>
    </row>
    <row r="180" spans="1:10">
      <c r="A180" s="616"/>
      <c r="B180" s="422"/>
      <c r="C180" s="423"/>
      <c r="D180" s="423"/>
      <c r="E180" s="422"/>
      <c r="F180" s="337"/>
      <c r="G180" s="512"/>
      <c r="H180" s="337"/>
      <c r="I180" s="513"/>
      <c r="J180" s="337"/>
    </row>
    <row r="181" spans="1:10">
      <c r="A181" s="616"/>
      <c r="B181" s="422"/>
      <c r="C181" s="423"/>
      <c r="D181" s="423"/>
      <c r="E181" s="422"/>
      <c r="F181" s="337"/>
      <c r="G181" s="512"/>
      <c r="H181" s="337"/>
      <c r="I181" s="513"/>
      <c r="J181" s="337"/>
    </row>
    <row r="182" spans="1:10">
      <c r="A182" s="616"/>
      <c r="B182" s="422"/>
      <c r="C182" s="423"/>
      <c r="D182" s="423"/>
      <c r="E182" s="422"/>
      <c r="F182" s="337"/>
      <c r="G182" s="512"/>
      <c r="H182" s="337"/>
      <c r="I182" s="513"/>
      <c r="J182" s="337"/>
    </row>
    <row r="183" spans="1:10">
      <c r="A183" s="616"/>
      <c r="B183" s="422"/>
      <c r="C183" s="423"/>
      <c r="D183" s="423"/>
      <c r="E183" s="422"/>
      <c r="F183" s="337"/>
      <c r="G183" s="512"/>
      <c r="H183" s="337"/>
      <c r="I183" s="513"/>
      <c r="J183" s="337"/>
    </row>
    <row r="184" spans="1:10">
      <c r="A184" s="616"/>
      <c r="B184" s="422"/>
      <c r="C184" s="423"/>
      <c r="D184" s="423"/>
      <c r="E184" s="422"/>
      <c r="F184" s="337"/>
      <c r="G184" s="512"/>
      <c r="H184" s="337"/>
      <c r="I184" s="513"/>
      <c r="J184" s="337"/>
    </row>
    <row r="185" spans="1:10">
      <c r="A185" s="616"/>
      <c r="B185" s="422"/>
      <c r="C185" s="423"/>
      <c r="D185" s="423"/>
      <c r="E185" s="422"/>
      <c r="F185" s="337"/>
      <c r="G185" s="512"/>
      <c r="H185" s="337"/>
      <c r="I185" s="513"/>
      <c r="J185" s="337"/>
    </row>
    <row r="186" spans="1:10">
      <c r="A186" s="616"/>
      <c r="B186" s="422"/>
      <c r="C186" s="423"/>
      <c r="D186" s="423"/>
      <c r="E186" s="422"/>
      <c r="F186" s="337"/>
      <c r="G186" s="512"/>
      <c r="H186" s="337"/>
      <c r="I186" s="513"/>
      <c r="J186" s="337"/>
    </row>
    <row r="187" spans="1:10">
      <c r="A187" s="616"/>
      <c r="B187" s="422"/>
      <c r="C187" s="423"/>
      <c r="D187" s="423"/>
      <c r="E187" s="422"/>
      <c r="F187" s="337"/>
      <c r="G187" s="512"/>
      <c r="H187" s="337"/>
      <c r="I187" s="513"/>
      <c r="J187" s="337"/>
    </row>
    <row r="188" spans="1:10">
      <c r="A188" s="616"/>
      <c r="B188" s="422"/>
      <c r="C188" s="423"/>
      <c r="D188" s="423"/>
      <c r="E188" s="422"/>
      <c r="F188" s="337"/>
      <c r="G188" s="512"/>
      <c r="H188" s="337"/>
      <c r="I188" s="513"/>
      <c r="J188" s="337"/>
    </row>
    <row r="189" spans="1:10">
      <c r="A189" s="616"/>
      <c r="B189" s="422"/>
      <c r="C189" s="423"/>
      <c r="D189" s="423"/>
      <c r="E189" s="422"/>
      <c r="F189" s="337"/>
      <c r="G189" s="512"/>
      <c r="H189" s="337"/>
      <c r="I189" s="513"/>
      <c r="J189" s="337"/>
    </row>
    <row r="190" spans="1:10">
      <c r="A190" s="616"/>
      <c r="B190" s="422"/>
      <c r="C190" s="423"/>
      <c r="D190" s="423"/>
      <c r="E190" s="422"/>
      <c r="F190" s="337"/>
      <c r="G190" s="512"/>
      <c r="H190" s="337"/>
      <c r="I190" s="513"/>
      <c r="J190" s="337"/>
    </row>
    <row r="191" spans="1:10">
      <c r="A191" s="616"/>
      <c r="B191" s="422"/>
      <c r="C191" s="423"/>
      <c r="D191" s="423"/>
      <c r="E191" s="422"/>
      <c r="F191" s="337"/>
      <c r="G191" s="512"/>
      <c r="H191" s="337"/>
      <c r="I191" s="513"/>
      <c r="J191" s="337"/>
    </row>
    <row r="192" spans="1:10">
      <c r="A192" s="616"/>
      <c r="B192" s="422"/>
      <c r="C192" s="423"/>
      <c r="D192" s="423"/>
      <c r="E192" s="422"/>
      <c r="F192" s="337"/>
      <c r="G192" s="512"/>
      <c r="H192" s="337"/>
      <c r="I192" s="513"/>
      <c r="J192" s="337"/>
    </row>
    <row r="193" spans="1:10">
      <c r="A193" s="616"/>
      <c r="B193" s="422"/>
      <c r="C193" s="423"/>
      <c r="D193" s="423"/>
      <c r="E193" s="422"/>
      <c r="F193" s="337"/>
      <c r="G193" s="512"/>
      <c r="H193" s="337"/>
      <c r="I193" s="513"/>
      <c r="J193" s="337"/>
    </row>
    <row r="194" spans="1:10">
      <c r="A194" s="616"/>
      <c r="B194" s="422"/>
      <c r="C194" s="423"/>
      <c r="D194" s="423"/>
      <c r="E194" s="422"/>
      <c r="F194" s="337"/>
      <c r="G194" s="512"/>
      <c r="H194" s="337"/>
      <c r="I194" s="513"/>
      <c r="J194" s="337"/>
    </row>
    <row r="195" spans="1:10">
      <c r="A195" s="616"/>
      <c r="B195" s="422"/>
      <c r="C195" s="423"/>
      <c r="D195" s="423"/>
      <c r="E195" s="422"/>
      <c r="F195" s="337"/>
      <c r="G195" s="512"/>
      <c r="H195" s="337"/>
      <c r="I195" s="513"/>
      <c r="J195" s="337"/>
    </row>
    <row r="196" spans="1:10">
      <c r="A196" s="616"/>
      <c r="B196" s="422"/>
      <c r="C196" s="423"/>
      <c r="D196" s="423"/>
      <c r="E196" s="422"/>
      <c r="F196" s="337"/>
      <c r="G196" s="512"/>
      <c r="H196" s="337"/>
      <c r="I196" s="513"/>
      <c r="J196" s="337"/>
    </row>
    <row r="197" spans="1:10">
      <c r="A197" s="616"/>
      <c r="B197" s="422"/>
      <c r="C197" s="423"/>
      <c r="D197" s="423"/>
      <c r="E197" s="422"/>
      <c r="F197" s="337"/>
      <c r="G197" s="512"/>
      <c r="H197" s="337"/>
      <c r="I197" s="513"/>
      <c r="J197" s="337"/>
    </row>
    <row r="198" spans="1:10">
      <c r="A198" s="616"/>
      <c r="B198" s="422"/>
      <c r="C198" s="423"/>
      <c r="D198" s="423"/>
      <c r="E198" s="422"/>
      <c r="F198" s="337"/>
      <c r="G198" s="512"/>
      <c r="H198" s="337"/>
      <c r="I198" s="513"/>
      <c r="J198" s="337"/>
    </row>
    <row r="199" spans="1:10">
      <c r="A199" s="616"/>
      <c r="B199" s="422"/>
      <c r="C199" s="423"/>
      <c r="D199" s="423"/>
      <c r="E199" s="422"/>
      <c r="F199" s="337"/>
      <c r="G199" s="512"/>
      <c r="H199" s="337"/>
      <c r="I199" s="513"/>
      <c r="J199" s="337"/>
    </row>
    <row r="200" spans="1:10">
      <c r="A200" s="616"/>
      <c r="B200" s="422"/>
      <c r="C200" s="423"/>
      <c r="D200" s="423"/>
      <c r="E200" s="422"/>
      <c r="F200" s="337"/>
      <c r="G200" s="512"/>
      <c r="H200" s="337"/>
      <c r="I200" s="513"/>
      <c r="J200" s="337"/>
    </row>
    <row r="201" spans="1:10">
      <c r="A201" s="616"/>
      <c r="B201" s="422"/>
      <c r="C201" s="423"/>
      <c r="D201" s="423"/>
      <c r="E201" s="422"/>
      <c r="F201" s="337"/>
      <c r="G201" s="512"/>
      <c r="H201" s="337"/>
      <c r="I201" s="513"/>
      <c r="J201" s="337"/>
    </row>
    <row r="202" spans="1:10">
      <c r="A202" s="616"/>
      <c r="B202" s="422"/>
      <c r="C202" s="423"/>
      <c r="D202" s="423"/>
      <c r="E202" s="422"/>
      <c r="F202" s="337"/>
      <c r="G202" s="512"/>
      <c r="H202" s="337"/>
      <c r="I202" s="513"/>
      <c r="J202" s="337"/>
    </row>
    <row r="203" spans="1:10">
      <c r="A203" s="616"/>
      <c r="B203" s="422"/>
      <c r="C203" s="423"/>
      <c r="D203" s="423"/>
      <c r="E203" s="422"/>
      <c r="F203" s="337"/>
      <c r="G203" s="512"/>
      <c r="H203" s="337"/>
      <c r="I203" s="513"/>
      <c r="J203" s="337"/>
    </row>
    <row r="204" spans="1:10">
      <c r="A204" s="616"/>
      <c r="B204" s="422"/>
      <c r="C204" s="423"/>
      <c r="D204" s="423"/>
      <c r="E204" s="422"/>
      <c r="F204" s="337"/>
      <c r="G204" s="512"/>
      <c r="H204" s="337"/>
      <c r="I204" s="513"/>
      <c r="J204" s="337"/>
    </row>
    <row r="205" spans="1:10">
      <c r="A205" s="616"/>
      <c r="B205" s="422"/>
      <c r="C205" s="423"/>
      <c r="D205" s="423"/>
      <c r="E205" s="422"/>
      <c r="F205" s="337"/>
      <c r="G205" s="512"/>
      <c r="H205" s="337"/>
      <c r="I205" s="513"/>
      <c r="J205" s="337"/>
    </row>
    <row r="206" spans="1:10">
      <c r="A206" s="616"/>
      <c r="B206" s="422"/>
      <c r="C206" s="423"/>
      <c r="D206" s="423"/>
      <c r="E206" s="422"/>
      <c r="F206" s="337"/>
      <c r="G206" s="512"/>
      <c r="H206" s="337"/>
      <c r="I206" s="513"/>
      <c r="J206" s="337"/>
    </row>
    <row r="207" spans="1:10">
      <c r="A207" s="616"/>
      <c r="B207" s="422"/>
      <c r="C207" s="423"/>
      <c r="D207" s="423"/>
      <c r="E207" s="422"/>
      <c r="F207" s="337"/>
      <c r="G207" s="512"/>
      <c r="H207" s="337"/>
      <c r="I207" s="513"/>
      <c r="J207" s="337"/>
    </row>
    <row r="208" spans="1:10">
      <c r="A208" s="616"/>
      <c r="B208" s="422"/>
      <c r="C208" s="423"/>
      <c r="D208" s="423"/>
      <c r="E208" s="422"/>
      <c r="F208" s="337"/>
      <c r="G208" s="512"/>
      <c r="H208" s="337"/>
      <c r="I208" s="513"/>
      <c r="J208" s="337"/>
    </row>
    <row r="209" spans="1:10">
      <c r="A209" s="616"/>
      <c r="B209" s="422"/>
      <c r="C209" s="423"/>
      <c r="D209" s="423"/>
      <c r="E209" s="422"/>
      <c r="F209" s="337"/>
      <c r="G209" s="512"/>
      <c r="H209" s="337"/>
      <c r="I209" s="513"/>
      <c r="J209" s="337"/>
    </row>
    <row r="210" spans="1:10">
      <c r="A210" s="616"/>
      <c r="B210" s="422"/>
      <c r="C210" s="423"/>
      <c r="D210" s="423"/>
      <c r="E210" s="422"/>
      <c r="F210" s="337"/>
      <c r="G210" s="512"/>
      <c r="H210" s="337"/>
      <c r="I210" s="513"/>
      <c r="J210" s="337"/>
    </row>
    <row r="211" spans="1:10">
      <c r="A211" s="616"/>
      <c r="B211" s="422"/>
      <c r="C211" s="423"/>
      <c r="D211" s="423"/>
      <c r="E211" s="422"/>
      <c r="F211" s="337"/>
      <c r="G211" s="512"/>
      <c r="H211" s="337"/>
      <c r="I211" s="513"/>
      <c r="J211" s="337"/>
    </row>
    <row r="212" spans="1:10">
      <c r="A212" s="616"/>
      <c r="B212" s="422"/>
      <c r="C212" s="423"/>
      <c r="D212" s="423"/>
      <c r="E212" s="422"/>
      <c r="F212" s="337"/>
      <c r="G212" s="512"/>
      <c r="H212" s="337"/>
      <c r="I212" s="513"/>
      <c r="J212" s="337"/>
    </row>
    <row r="213" spans="1:10">
      <c r="A213" s="616"/>
      <c r="B213" s="422"/>
      <c r="C213" s="423"/>
      <c r="D213" s="423"/>
      <c r="E213" s="422"/>
      <c r="F213" s="337"/>
      <c r="G213" s="512"/>
      <c r="H213" s="337"/>
      <c r="I213" s="513"/>
      <c r="J213" s="337"/>
    </row>
    <row r="214" spans="1:10">
      <c r="A214" s="616"/>
      <c r="B214" s="422"/>
      <c r="C214" s="423"/>
      <c r="D214" s="423"/>
      <c r="E214" s="422"/>
      <c r="F214" s="337"/>
      <c r="G214" s="512"/>
      <c r="H214" s="337"/>
      <c r="I214" s="513"/>
      <c r="J214" s="337"/>
    </row>
    <row r="215" spans="1:10">
      <c r="A215" s="616"/>
      <c r="B215" s="422"/>
      <c r="C215" s="423"/>
      <c r="D215" s="423"/>
      <c r="E215" s="422"/>
      <c r="F215" s="337"/>
      <c r="G215" s="512"/>
      <c r="H215" s="337"/>
      <c r="I215" s="513"/>
      <c r="J215" s="337"/>
    </row>
    <row r="216" spans="1:10">
      <c r="A216" s="616"/>
      <c r="B216" s="422"/>
      <c r="C216" s="423"/>
      <c r="D216" s="423"/>
      <c r="E216" s="422"/>
      <c r="F216" s="337"/>
      <c r="G216" s="512"/>
      <c r="H216" s="337"/>
      <c r="I216" s="513"/>
      <c r="J216" s="337"/>
    </row>
    <row r="217" spans="1:10">
      <c r="A217" s="616"/>
      <c r="B217" s="422"/>
      <c r="C217" s="423"/>
      <c r="D217" s="423"/>
      <c r="E217" s="422"/>
      <c r="F217" s="337"/>
      <c r="G217" s="512"/>
      <c r="H217" s="337"/>
      <c r="I217" s="513"/>
      <c r="J217" s="337"/>
    </row>
    <row r="218" spans="1:10">
      <c r="A218" s="616"/>
      <c r="B218" s="422"/>
      <c r="C218" s="423"/>
      <c r="D218" s="423"/>
      <c r="E218" s="422"/>
      <c r="F218" s="337"/>
      <c r="G218" s="512"/>
      <c r="H218" s="337"/>
      <c r="I218" s="513"/>
      <c r="J218" s="337"/>
    </row>
    <row r="219" spans="1:10">
      <c r="A219" s="616"/>
      <c r="B219" s="422"/>
      <c r="C219" s="423"/>
      <c r="D219" s="423"/>
      <c r="E219" s="422"/>
      <c r="F219" s="337"/>
      <c r="G219" s="512"/>
      <c r="H219" s="337"/>
      <c r="I219" s="513"/>
      <c r="J219" s="337"/>
    </row>
    <row r="220" spans="1:10">
      <c r="A220" s="616"/>
      <c r="B220" s="422"/>
      <c r="C220" s="423"/>
      <c r="D220" s="423"/>
      <c r="E220" s="422"/>
      <c r="F220" s="337"/>
      <c r="G220" s="512"/>
      <c r="H220" s="337"/>
      <c r="I220" s="513"/>
      <c r="J220" s="337"/>
    </row>
    <row r="221" spans="1:10">
      <c r="A221" s="616"/>
      <c r="B221" s="422"/>
      <c r="C221" s="423"/>
      <c r="D221" s="423"/>
      <c r="E221" s="422"/>
      <c r="F221" s="337"/>
      <c r="G221" s="512"/>
      <c r="H221" s="337"/>
      <c r="I221" s="513"/>
      <c r="J221" s="337"/>
    </row>
    <row r="222" spans="1:10">
      <c r="A222" s="616"/>
      <c r="B222" s="422"/>
      <c r="C222" s="423"/>
      <c r="D222" s="423"/>
      <c r="E222" s="422"/>
      <c r="F222" s="337"/>
      <c r="G222" s="512"/>
      <c r="H222" s="337"/>
      <c r="I222" s="513"/>
      <c r="J222" s="337"/>
    </row>
    <row r="223" spans="1:10">
      <c r="A223" s="616"/>
      <c r="B223" s="422"/>
      <c r="C223" s="423"/>
      <c r="D223" s="423"/>
      <c r="E223" s="422"/>
      <c r="F223" s="337"/>
      <c r="G223" s="512"/>
      <c r="H223" s="337"/>
      <c r="I223" s="513"/>
      <c r="J223" s="337"/>
    </row>
    <row r="224" spans="1:10">
      <c r="A224" s="616"/>
      <c r="B224" s="422"/>
      <c r="C224" s="423"/>
      <c r="D224" s="423"/>
      <c r="E224" s="422"/>
      <c r="F224" s="337"/>
      <c r="G224" s="512"/>
      <c r="H224" s="337"/>
      <c r="I224" s="513"/>
      <c r="J224" s="337"/>
    </row>
    <row r="225" spans="1:10">
      <c r="A225" s="616"/>
      <c r="B225" s="422"/>
      <c r="C225" s="423"/>
      <c r="D225" s="423"/>
      <c r="E225" s="422"/>
      <c r="F225" s="337"/>
      <c r="G225" s="512"/>
      <c r="H225" s="337"/>
      <c r="I225" s="513"/>
      <c r="J225" s="337"/>
    </row>
    <row r="226" spans="1:10">
      <c r="A226" s="616"/>
      <c r="B226" s="422"/>
      <c r="C226" s="423"/>
      <c r="D226" s="423"/>
      <c r="E226" s="422"/>
      <c r="F226" s="337"/>
      <c r="G226" s="512"/>
      <c r="H226" s="337"/>
      <c r="I226" s="513"/>
      <c r="J226" s="337"/>
    </row>
    <row r="227" spans="1:10">
      <c r="A227" s="616"/>
      <c r="B227" s="422"/>
      <c r="C227" s="423"/>
      <c r="D227" s="423"/>
      <c r="E227" s="422"/>
      <c r="F227" s="337"/>
      <c r="G227" s="512"/>
      <c r="H227" s="337"/>
      <c r="I227" s="513"/>
      <c r="J227" s="337"/>
    </row>
    <row r="228" spans="1:10">
      <c r="A228" s="616"/>
      <c r="B228" s="422"/>
      <c r="C228" s="423"/>
      <c r="D228" s="423"/>
      <c r="E228" s="422"/>
      <c r="F228" s="337"/>
      <c r="G228" s="512"/>
      <c r="H228" s="337"/>
      <c r="I228" s="513"/>
      <c r="J228" s="337"/>
    </row>
    <row r="229" spans="1:10">
      <c r="A229" s="616"/>
      <c r="B229" s="422"/>
      <c r="C229" s="423"/>
      <c r="D229" s="423"/>
      <c r="E229" s="422"/>
      <c r="F229" s="337"/>
      <c r="G229" s="512"/>
      <c r="H229" s="337"/>
      <c r="I229" s="513"/>
      <c r="J229" s="337"/>
    </row>
    <row r="230" spans="1:10">
      <c r="A230" s="616"/>
      <c r="B230" s="422"/>
      <c r="C230" s="423"/>
      <c r="D230" s="423"/>
      <c r="E230" s="422"/>
      <c r="F230" s="337"/>
      <c r="G230" s="512"/>
      <c r="H230" s="337"/>
      <c r="I230" s="513"/>
      <c r="J230" s="337"/>
    </row>
    <row r="231" spans="1:10">
      <c r="A231" s="616"/>
      <c r="B231" s="422"/>
      <c r="C231" s="423"/>
      <c r="D231" s="423"/>
      <c r="E231" s="422"/>
      <c r="F231" s="337"/>
      <c r="G231" s="512"/>
      <c r="H231" s="337"/>
      <c r="I231" s="513"/>
      <c r="J231" s="337"/>
    </row>
    <row r="232" spans="1:10">
      <c r="A232" s="616"/>
      <c r="B232" s="422"/>
      <c r="C232" s="423"/>
      <c r="D232" s="423"/>
      <c r="E232" s="422"/>
      <c r="F232" s="337"/>
      <c r="G232" s="512"/>
      <c r="H232" s="337"/>
      <c r="I232" s="513"/>
      <c r="J232" s="337"/>
    </row>
    <row r="233" spans="1:10">
      <c r="A233" s="616"/>
      <c r="B233" s="422"/>
      <c r="C233" s="423"/>
      <c r="D233" s="423"/>
      <c r="E233" s="422"/>
      <c r="F233" s="337"/>
      <c r="G233" s="512"/>
      <c r="H233" s="337"/>
      <c r="I233" s="513"/>
      <c r="J233" s="337"/>
    </row>
    <row r="234" spans="1:10">
      <c r="A234" s="616"/>
      <c r="B234" s="422"/>
      <c r="C234" s="423"/>
      <c r="D234" s="423"/>
      <c r="E234" s="422"/>
      <c r="F234" s="337"/>
      <c r="G234" s="512"/>
      <c r="H234" s="337"/>
      <c r="I234" s="513"/>
      <c r="J234" s="337"/>
    </row>
    <row r="235" spans="1:10">
      <c r="A235" s="616"/>
      <c r="B235" s="422"/>
      <c r="C235" s="423"/>
      <c r="D235" s="423"/>
      <c r="E235" s="422"/>
      <c r="F235" s="337"/>
      <c r="G235" s="512"/>
      <c r="H235" s="337"/>
      <c r="I235" s="513"/>
      <c r="J235" s="337"/>
    </row>
    <row r="236" spans="1:10">
      <c r="A236" s="616"/>
      <c r="B236" s="422"/>
      <c r="C236" s="423"/>
      <c r="D236" s="423"/>
      <c r="E236" s="422"/>
      <c r="F236" s="337"/>
      <c r="G236" s="512"/>
      <c r="H236" s="337"/>
      <c r="I236" s="513"/>
      <c r="J236" s="337"/>
    </row>
    <row r="237" spans="1:10">
      <c r="A237" s="616"/>
      <c r="B237" s="422"/>
      <c r="C237" s="423"/>
      <c r="D237" s="423"/>
      <c r="E237" s="422"/>
      <c r="F237" s="337"/>
      <c r="G237" s="512"/>
      <c r="H237" s="337"/>
      <c r="I237" s="513"/>
      <c r="J237" s="337"/>
    </row>
    <row r="238" spans="1:10">
      <c r="A238" s="616"/>
      <c r="B238" s="422"/>
      <c r="C238" s="423"/>
      <c r="D238" s="423"/>
      <c r="E238" s="422"/>
      <c r="F238" s="337"/>
      <c r="G238" s="512"/>
      <c r="H238" s="337"/>
      <c r="I238" s="513"/>
      <c r="J238" s="337"/>
    </row>
    <row r="239" spans="1:10">
      <c r="A239" s="616"/>
      <c r="B239" s="422"/>
      <c r="C239" s="423"/>
      <c r="D239" s="423"/>
      <c r="E239" s="422"/>
      <c r="F239" s="337"/>
      <c r="G239" s="512"/>
      <c r="H239" s="337"/>
      <c r="I239" s="513"/>
      <c r="J239" s="337"/>
    </row>
    <row r="240" spans="1:10">
      <c r="A240" s="616"/>
      <c r="B240" s="422"/>
      <c r="C240" s="423"/>
      <c r="D240" s="423"/>
      <c r="E240" s="422"/>
      <c r="F240" s="337"/>
      <c r="G240" s="512"/>
      <c r="H240" s="337"/>
      <c r="I240" s="513"/>
      <c r="J240" s="337"/>
    </row>
    <row r="241" spans="1:10">
      <c r="A241" s="616"/>
      <c r="B241" s="422"/>
      <c r="C241" s="423"/>
      <c r="D241" s="423"/>
      <c r="E241" s="422"/>
      <c r="F241" s="337"/>
      <c r="G241" s="512"/>
      <c r="H241" s="337"/>
      <c r="I241" s="513"/>
      <c r="J241" s="337"/>
    </row>
    <row r="242" spans="1:10">
      <c r="A242" s="616"/>
      <c r="B242" s="422"/>
      <c r="C242" s="423"/>
      <c r="D242" s="423"/>
      <c r="E242" s="422"/>
      <c r="F242" s="337"/>
      <c r="G242" s="512"/>
      <c r="H242" s="337"/>
      <c r="I242" s="513"/>
      <c r="J242" s="337"/>
    </row>
    <row r="243" spans="1:10">
      <c r="A243" s="616"/>
      <c r="B243" s="422"/>
      <c r="C243" s="423"/>
      <c r="D243" s="423"/>
      <c r="E243" s="422"/>
      <c r="F243" s="337"/>
      <c r="G243" s="512"/>
      <c r="H243" s="337"/>
      <c r="I243" s="513"/>
      <c r="J243" s="337"/>
    </row>
    <row r="244" spans="1:10">
      <c r="A244" s="616"/>
      <c r="B244" s="422"/>
      <c r="C244" s="423"/>
      <c r="D244" s="423"/>
      <c r="E244" s="422"/>
      <c r="F244" s="337"/>
      <c r="G244" s="512"/>
      <c r="H244" s="337"/>
      <c r="I244" s="513"/>
      <c r="J244" s="337"/>
    </row>
    <row r="245" spans="1:10">
      <c r="A245" s="616"/>
      <c r="B245" s="422"/>
      <c r="C245" s="423"/>
      <c r="D245" s="423"/>
      <c r="E245" s="422"/>
      <c r="F245" s="337"/>
      <c r="G245" s="512"/>
      <c r="H245" s="337"/>
      <c r="I245" s="513"/>
      <c r="J245" s="337"/>
    </row>
    <row r="246" spans="1:10">
      <c r="A246" s="616"/>
      <c r="B246" s="422"/>
      <c r="C246" s="423"/>
      <c r="D246" s="423"/>
      <c r="E246" s="422"/>
      <c r="F246" s="337"/>
      <c r="G246" s="512"/>
      <c r="H246" s="337"/>
      <c r="I246" s="513"/>
      <c r="J246" s="337"/>
    </row>
    <row r="247" spans="1:10">
      <c r="A247" s="616"/>
      <c r="B247" s="422"/>
      <c r="C247" s="423"/>
      <c r="D247" s="423"/>
      <c r="E247" s="422"/>
      <c r="F247" s="337"/>
      <c r="G247" s="512"/>
      <c r="H247" s="337"/>
      <c r="I247" s="513"/>
      <c r="J247" s="337"/>
    </row>
    <row r="248" spans="1:10">
      <c r="A248" s="616"/>
      <c r="B248" s="422"/>
      <c r="C248" s="423"/>
      <c r="D248" s="423"/>
      <c r="E248" s="422"/>
      <c r="F248" s="337"/>
      <c r="G248" s="512"/>
      <c r="H248" s="337"/>
      <c r="I248" s="513"/>
      <c r="J248" s="337"/>
    </row>
    <row r="249" spans="1:10">
      <c r="A249" s="616"/>
      <c r="B249" s="422"/>
      <c r="C249" s="423"/>
      <c r="D249" s="423"/>
      <c r="E249" s="422"/>
      <c r="F249" s="337"/>
      <c r="G249" s="512"/>
      <c r="H249" s="337"/>
      <c r="I249" s="513"/>
      <c r="J249" s="337"/>
    </row>
    <row r="250" spans="1:10">
      <c r="A250" s="616"/>
      <c r="B250" s="422"/>
      <c r="C250" s="423"/>
      <c r="D250" s="423"/>
      <c r="E250" s="422"/>
      <c r="F250" s="337"/>
      <c r="G250" s="512"/>
      <c r="H250" s="337"/>
      <c r="I250" s="513"/>
      <c r="J250" s="337"/>
    </row>
    <row r="251" spans="1:10">
      <c r="A251" s="616"/>
      <c r="B251" s="422"/>
      <c r="C251" s="423"/>
      <c r="D251" s="423"/>
      <c r="E251" s="422"/>
      <c r="F251" s="337"/>
      <c r="G251" s="512"/>
      <c r="H251" s="337"/>
      <c r="I251" s="513"/>
      <c r="J251" s="337"/>
    </row>
    <row r="252" spans="1:10">
      <c r="A252" s="616"/>
      <c r="B252" s="422"/>
      <c r="C252" s="423"/>
      <c r="D252" s="423"/>
      <c r="E252" s="422"/>
      <c r="F252" s="337"/>
      <c r="G252" s="512"/>
      <c r="H252" s="337"/>
      <c r="I252" s="513"/>
      <c r="J252" s="337"/>
    </row>
    <row r="253" spans="1:10">
      <c r="A253" s="616"/>
      <c r="B253" s="422"/>
      <c r="C253" s="423"/>
      <c r="D253" s="423"/>
      <c r="E253" s="422"/>
      <c r="F253" s="337"/>
      <c r="G253" s="512"/>
      <c r="H253" s="337"/>
      <c r="I253" s="513"/>
      <c r="J253" s="337"/>
    </row>
    <row r="254" spans="1:10">
      <c r="A254" s="616"/>
      <c r="B254" s="422"/>
      <c r="C254" s="423"/>
      <c r="D254" s="423"/>
      <c r="E254" s="422"/>
      <c r="F254" s="337"/>
      <c r="G254" s="512"/>
      <c r="H254" s="337"/>
      <c r="I254" s="513"/>
      <c r="J254" s="337"/>
    </row>
    <row r="255" spans="1:10">
      <c r="A255" s="616"/>
      <c r="B255" s="422"/>
      <c r="C255" s="423"/>
      <c r="D255" s="423"/>
      <c r="E255" s="422"/>
      <c r="F255" s="337"/>
      <c r="G255" s="512"/>
      <c r="H255" s="337"/>
      <c r="I255" s="513"/>
      <c r="J255" s="337"/>
    </row>
    <row r="256" spans="1:10">
      <c r="A256" s="616"/>
      <c r="B256" s="422"/>
      <c r="C256" s="423"/>
      <c r="D256" s="423"/>
      <c r="E256" s="422"/>
      <c r="F256" s="337"/>
      <c r="G256" s="512"/>
      <c r="H256" s="337"/>
      <c r="I256" s="513"/>
      <c r="J256" s="337"/>
    </row>
    <row r="257" spans="1:10">
      <c r="A257" s="616"/>
      <c r="B257" s="422"/>
      <c r="C257" s="423"/>
      <c r="D257" s="423"/>
      <c r="E257" s="422"/>
      <c r="F257" s="337"/>
      <c r="G257" s="512"/>
      <c r="H257" s="337"/>
      <c r="I257" s="513"/>
      <c r="J257" s="337"/>
    </row>
    <row r="258" spans="1:10">
      <c r="A258" s="616"/>
      <c r="B258" s="422"/>
      <c r="C258" s="423"/>
      <c r="D258" s="423"/>
      <c r="E258" s="422"/>
      <c r="F258" s="337"/>
      <c r="G258" s="512"/>
      <c r="H258" s="337"/>
      <c r="I258" s="513"/>
      <c r="J258" s="337"/>
    </row>
    <row r="259" spans="1:10">
      <c r="A259" s="616"/>
      <c r="B259" s="422"/>
      <c r="C259" s="423"/>
      <c r="D259" s="423"/>
      <c r="E259" s="422"/>
      <c r="F259" s="337"/>
      <c r="G259" s="512"/>
      <c r="H259" s="337"/>
      <c r="I259" s="513"/>
      <c r="J259" s="337"/>
    </row>
    <row r="260" spans="1:10">
      <c r="A260" s="616"/>
      <c r="B260" s="422"/>
      <c r="C260" s="423"/>
      <c r="D260" s="423"/>
      <c r="E260" s="422"/>
      <c r="F260" s="337"/>
      <c r="G260" s="512"/>
      <c r="H260" s="337"/>
      <c r="I260" s="513"/>
      <c r="J260" s="337"/>
    </row>
    <row r="261" spans="1:10">
      <c r="A261" s="616"/>
      <c r="B261" s="422"/>
      <c r="C261" s="423"/>
      <c r="D261" s="423"/>
      <c r="E261" s="422"/>
      <c r="F261" s="337"/>
      <c r="G261" s="512"/>
      <c r="H261" s="337"/>
      <c r="I261" s="513"/>
      <c r="J261" s="337"/>
    </row>
    <row r="262" spans="1:10">
      <c r="A262" s="616"/>
      <c r="B262" s="422"/>
      <c r="C262" s="423"/>
      <c r="D262" s="423"/>
      <c r="E262" s="422"/>
      <c r="F262" s="337"/>
      <c r="G262" s="512"/>
      <c r="H262" s="337"/>
      <c r="I262" s="513"/>
      <c r="J262" s="337"/>
    </row>
    <row r="263" spans="1:10">
      <c r="A263" s="643"/>
      <c r="B263" s="644"/>
      <c r="C263" s="645"/>
      <c r="D263" s="645"/>
      <c r="E263" s="422"/>
      <c r="F263" s="337"/>
      <c r="G263" s="512"/>
      <c r="H263" s="337"/>
      <c r="I263" s="513"/>
      <c r="J263" s="337"/>
    </row>
    <row r="264" spans="1:10">
      <c r="A264" s="616"/>
      <c r="B264" s="422"/>
      <c r="C264" s="423"/>
      <c r="D264" s="423"/>
      <c r="E264" s="422"/>
      <c r="F264" s="337"/>
      <c r="G264" s="512"/>
      <c r="H264" s="337"/>
      <c r="I264" s="513"/>
      <c r="J264" s="337"/>
    </row>
    <row r="265" spans="1:10">
      <c r="A265" s="616"/>
      <c r="B265" s="422"/>
      <c r="C265" s="423"/>
      <c r="D265" s="423"/>
      <c r="E265" s="422"/>
      <c r="F265" s="337"/>
      <c r="G265" s="512"/>
      <c r="H265" s="337"/>
      <c r="I265" s="513"/>
      <c r="J265" s="337"/>
    </row>
    <row r="266" spans="1:10">
      <c r="A266" s="616"/>
      <c r="B266" s="422"/>
      <c r="C266" s="423"/>
      <c r="D266" s="423"/>
      <c r="E266" s="422"/>
      <c r="F266" s="337"/>
      <c r="G266" s="512"/>
      <c r="H266" s="337"/>
      <c r="I266" s="513"/>
      <c r="J266" s="337"/>
    </row>
    <row r="267" spans="1:10">
      <c r="A267" s="616"/>
      <c r="B267" s="422"/>
      <c r="C267" s="423"/>
      <c r="D267" s="423"/>
      <c r="E267" s="422"/>
      <c r="F267" s="337"/>
      <c r="G267" s="512"/>
      <c r="H267" s="337"/>
      <c r="I267" s="513"/>
      <c r="J267" s="337"/>
    </row>
    <row r="268" spans="1:10">
      <c r="A268" s="616"/>
      <c r="B268" s="422"/>
      <c r="C268" s="423"/>
      <c r="D268" s="423"/>
      <c r="E268" s="422"/>
      <c r="F268" s="337"/>
      <c r="G268" s="512"/>
      <c r="H268" s="337"/>
      <c r="I268" s="513"/>
      <c r="J268" s="337"/>
    </row>
    <row r="269" spans="1:10">
      <c r="A269" s="616"/>
      <c r="B269" s="422"/>
      <c r="C269" s="423"/>
      <c r="D269" s="423"/>
      <c r="E269" s="422"/>
      <c r="F269" s="337"/>
      <c r="G269" s="512"/>
      <c r="H269" s="337"/>
      <c r="I269" s="513"/>
      <c r="J269" s="337"/>
    </row>
    <row r="270" spans="1:10">
      <c r="A270" s="616"/>
      <c r="B270" s="422"/>
      <c r="C270" s="423"/>
      <c r="D270" s="423"/>
      <c r="E270" s="422"/>
      <c r="F270" s="337"/>
      <c r="G270" s="512"/>
      <c r="H270" s="337"/>
      <c r="I270" s="513"/>
      <c r="J270" s="337"/>
    </row>
    <row r="271" spans="1:10">
      <c r="A271" s="616"/>
      <c r="B271" s="422"/>
      <c r="C271" s="423"/>
      <c r="D271" s="423"/>
      <c r="E271" s="422"/>
      <c r="F271" s="337"/>
      <c r="G271" s="512"/>
      <c r="H271" s="337"/>
      <c r="I271" s="513"/>
      <c r="J271" s="337"/>
    </row>
    <row r="272" spans="1:10">
      <c r="A272" s="616"/>
      <c r="B272" s="422"/>
      <c r="C272" s="423"/>
      <c r="D272" s="423"/>
      <c r="E272" s="422"/>
      <c r="F272" s="337"/>
      <c r="G272" s="512"/>
      <c r="H272" s="337"/>
      <c r="I272" s="513"/>
      <c r="J272" s="337"/>
    </row>
    <row r="273" spans="1:10">
      <c r="A273" s="616"/>
      <c r="B273" s="422"/>
      <c r="C273" s="423"/>
      <c r="D273" s="423"/>
      <c r="E273" s="422"/>
      <c r="F273" s="337"/>
      <c r="G273" s="512"/>
      <c r="H273" s="337"/>
      <c r="I273" s="513"/>
      <c r="J273" s="337"/>
    </row>
    <row r="274" spans="1:10">
      <c r="A274" s="616"/>
      <c r="B274" s="422"/>
      <c r="C274" s="423"/>
      <c r="D274" s="423"/>
      <c r="E274" s="422"/>
      <c r="F274" s="337"/>
      <c r="G274" s="512"/>
      <c r="H274" s="337"/>
      <c r="I274" s="513"/>
      <c r="J274" s="337"/>
    </row>
    <row r="275" spans="1:10">
      <c r="A275" s="616"/>
      <c r="B275" s="422"/>
      <c r="C275" s="423"/>
      <c r="D275" s="423"/>
      <c r="E275" s="422"/>
      <c r="F275" s="337"/>
      <c r="G275" s="512"/>
      <c r="H275" s="337"/>
      <c r="I275" s="513"/>
      <c r="J275" s="337"/>
    </row>
    <row r="276" spans="1:10">
      <c r="A276" s="616"/>
      <c r="B276" s="422"/>
      <c r="C276" s="423"/>
      <c r="D276" s="423"/>
      <c r="E276" s="422"/>
      <c r="F276" s="337"/>
      <c r="G276" s="512"/>
      <c r="H276" s="337"/>
      <c r="I276" s="513"/>
      <c r="J276" s="337"/>
    </row>
    <row r="277" spans="1:10">
      <c r="A277" s="616"/>
      <c r="B277" s="422"/>
      <c r="C277" s="423"/>
      <c r="D277" s="423"/>
      <c r="E277" s="422"/>
      <c r="F277" s="337"/>
      <c r="G277" s="512"/>
      <c r="H277" s="337"/>
      <c r="I277" s="513"/>
      <c r="J277" s="337"/>
    </row>
    <row r="278" spans="1:10">
      <c r="A278" s="616"/>
      <c r="B278" s="422"/>
      <c r="C278" s="423"/>
      <c r="D278" s="423"/>
      <c r="E278" s="422"/>
      <c r="F278" s="337"/>
      <c r="G278" s="512"/>
      <c r="H278" s="337"/>
      <c r="I278" s="513"/>
      <c r="J278" s="337"/>
    </row>
    <row r="279" spans="1:10">
      <c r="A279" s="616"/>
      <c r="B279" s="422"/>
      <c r="C279" s="423"/>
      <c r="D279" s="423"/>
      <c r="E279" s="422"/>
      <c r="F279" s="337"/>
      <c r="G279" s="512"/>
      <c r="H279" s="337"/>
      <c r="I279" s="513"/>
      <c r="J279" s="337"/>
    </row>
    <row r="280" spans="1:10">
      <c r="A280" s="616"/>
      <c r="B280" s="422"/>
      <c r="C280" s="423"/>
      <c r="D280" s="423"/>
      <c r="E280" s="422"/>
      <c r="F280" s="337"/>
      <c r="G280" s="512"/>
      <c r="H280" s="337"/>
      <c r="I280" s="513"/>
      <c r="J280" s="337"/>
    </row>
    <row r="281" spans="1:10">
      <c r="A281" s="616"/>
      <c r="B281" s="422"/>
      <c r="C281" s="423"/>
      <c r="D281" s="423"/>
      <c r="E281" s="422"/>
      <c r="F281" s="337"/>
      <c r="G281" s="512"/>
      <c r="H281" s="337"/>
      <c r="I281" s="513"/>
      <c r="J281" s="337"/>
    </row>
    <row r="282" spans="1:10">
      <c r="A282" s="616"/>
      <c r="B282" s="422"/>
      <c r="C282" s="423"/>
      <c r="D282" s="423"/>
      <c r="E282" s="422"/>
      <c r="F282" s="337"/>
      <c r="G282" s="512"/>
      <c r="H282" s="337"/>
      <c r="I282" s="513"/>
      <c r="J282" s="337"/>
    </row>
    <row r="283" spans="1:10">
      <c r="A283" s="616"/>
      <c r="B283" s="422"/>
      <c r="C283" s="423"/>
      <c r="D283" s="423"/>
      <c r="E283" s="422"/>
      <c r="F283" s="337"/>
      <c r="G283" s="512"/>
      <c r="H283" s="337"/>
      <c r="I283" s="513"/>
      <c r="J283" s="337"/>
    </row>
    <row r="284" spans="1:10">
      <c r="A284" s="616"/>
      <c r="B284" s="422"/>
      <c r="C284" s="423"/>
      <c r="D284" s="423"/>
      <c r="E284" s="422"/>
      <c r="F284" s="337"/>
      <c r="G284" s="512"/>
      <c r="H284" s="337"/>
      <c r="I284" s="513"/>
      <c r="J284" s="337"/>
    </row>
    <row r="285" spans="1:10">
      <c r="A285" s="616"/>
      <c r="B285" s="422"/>
      <c r="C285" s="423"/>
      <c r="D285" s="423"/>
      <c r="E285" s="422"/>
      <c r="F285" s="337"/>
      <c r="G285" s="512"/>
      <c r="H285" s="337"/>
      <c r="I285" s="513"/>
      <c r="J285" s="337"/>
    </row>
    <row r="286" spans="1:10">
      <c r="A286" s="616"/>
      <c r="B286" s="422"/>
      <c r="C286" s="423"/>
      <c r="D286" s="423"/>
      <c r="E286" s="422"/>
      <c r="F286" s="337"/>
      <c r="G286" s="512"/>
      <c r="H286" s="337"/>
      <c r="I286" s="513"/>
      <c r="J286" s="337"/>
    </row>
    <row r="287" spans="1:10">
      <c r="A287" s="616"/>
      <c r="B287" s="422"/>
      <c r="C287" s="423"/>
      <c r="D287" s="423"/>
      <c r="E287" s="422"/>
      <c r="F287" s="337"/>
      <c r="G287" s="512"/>
      <c r="H287" s="337"/>
      <c r="I287" s="513"/>
      <c r="J287" s="337"/>
    </row>
    <row r="288" spans="1:10">
      <c r="A288" s="616"/>
      <c r="B288" s="422"/>
      <c r="C288" s="423"/>
      <c r="D288" s="423"/>
      <c r="E288" s="422"/>
      <c r="F288" s="337"/>
      <c r="G288" s="512"/>
      <c r="H288" s="337"/>
      <c r="I288" s="513"/>
      <c r="J288" s="337"/>
    </row>
    <row r="289" spans="1:10">
      <c r="A289" s="616"/>
      <c r="B289" s="422"/>
      <c r="C289" s="423"/>
      <c r="D289" s="423"/>
      <c r="E289" s="422"/>
      <c r="F289" s="337"/>
      <c r="G289" s="512"/>
      <c r="H289" s="337"/>
      <c r="I289" s="513"/>
      <c r="J289" s="337"/>
    </row>
    <row r="290" spans="1:10">
      <c r="A290" s="616"/>
      <c r="B290" s="422"/>
      <c r="C290" s="423"/>
      <c r="D290" s="423"/>
      <c r="E290" s="422"/>
      <c r="F290" s="337"/>
      <c r="G290" s="512"/>
      <c r="H290" s="337"/>
      <c r="I290" s="513"/>
      <c r="J290" s="337"/>
    </row>
    <row r="291" spans="1:10">
      <c r="A291" s="616"/>
      <c r="B291" s="422"/>
      <c r="C291" s="423"/>
      <c r="D291" s="423"/>
      <c r="E291" s="422"/>
      <c r="F291" s="337"/>
      <c r="G291" s="512"/>
      <c r="H291" s="337"/>
      <c r="I291" s="513"/>
      <c r="J291" s="337"/>
    </row>
    <row r="292" spans="1:10">
      <c r="A292" s="616"/>
      <c r="B292" s="422"/>
      <c r="C292" s="423"/>
      <c r="D292" s="423"/>
      <c r="E292" s="422"/>
      <c r="F292" s="337"/>
      <c r="G292" s="512"/>
      <c r="H292" s="337"/>
      <c r="I292" s="513"/>
      <c r="J292" s="337"/>
    </row>
    <row r="293" spans="1:10">
      <c r="A293" s="616"/>
      <c r="B293" s="422"/>
      <c r="C293" s="423"/>
      <c r="D293" s="423"/>
      <c r="E293" s="422"/>
      <c r="F293" s="337"/>
      <c r="G293" s="512"/>
      <c r="H293" s="337"/>
      <c r="I293" s="513"/>
      <c r="J293" s="337"/>
    </row>
    <row r="294" spans="1:10">
      <c r="A294" s="616"/>
      <c r="B294" s="422"/>
      <c r="C294" s="423"/>
      <c r="D294" s="423"/>
      <c r="E294" s="422"/>
      <c r="F294" s="337"/>
      <c r="G294" s="512"/>
      <c r="H294" s="337"/>
      <c r="I294" s="513"/>
      <c r="J294" s="337"/>
    </row>
    <row r="295" spans="1:10">
      <c r="A295" s="616"/>
      <c r="B295" s="422"/>
      <c r="C295" s="423"/>
      <c r="D295" s="423"/>
      <c r="E295" s="422"/>
      <c r="F295" s="337"/>
      <c r="G295" s="512"/>
      <c r="H295" s="337"/>
      <c r="I295" s="513"/>
      <c r="J295" s="337"/>
    </row>
    <row r="296" spans="1:10">
      <c r="A296" s="616"/>
      <c r="B296" s="422"/>
      <c r="C296" s="423"/>
      <c r="D296" s="423"/>
      <c r="E296" s="422"/>
      <c r="F296" s="337"/>
      <c r="G296" s="512"/>
      <c r="H296" s="337"/>
      <c r="I296" s="513"/>
      <c r="J296" s="337"/>
    </row>
    <row r="297" spans="1:10">
      <c r="A297" s="616"/>
      <c r="B297" s="422"/>
      <c r="C297" s="423"/>
      <c r="D297" s="423"/>
      <c r="E297" s="422"/>
      <c r="F297" s="337"/>
      <c r="G297" s="512"/>
      <c r="H297" s="337"/>
      <c r="I297" s="513"/>
      <c r="J297" s="337"/>
    </row>
    <row r="298" spans="1:10">
      <c r="A298" s="616"/>
      <c r="B298" s="422"/>
      <c r="C298" s="619"/>
      <c r="D298" s="619"/>
      <c r="E298" s="422"/>
      <c r="F298" s="337"/>
      <c r="G298" s="512"/>
      <c r="H298" s="337"/>
      <c r="I298" s="513"/>
      <c r="J298" s="337"/>
    </row>
    <row r="299" spans="1:10">
      <c r="A299" s="616"/>
      <c r="B299" s="422"/>
      <c r="C299" s="423"/>
      <c r="D299" s="423"/>
      <c r="E299" s="422"/>
      <c r="F299" s="337"/>
      <c r="G299" s="512"/>
      <c r="H299" s="337"/>
      <c r="I299" s="513"/>
      <c r="J299" s="337"/>
    </row>
    <row r="300" spans="1:10">
      <c r="A300" s="616"/>
      <c r="B300" s="422"/>
      <c r="C300" s="423"/>
      <c r="D300" s="423"/>
      <c r="E300" s="422"/>
      <c r="F300" s="337"/>
      <c r="G300" s="512"/>
      <c r="H300" s="337"/>
      <c r="I300" s="513"/>
      <c r="J300" s="337"/>
    </row>
    <row r="301" spans="1:10">
      <c r="A301" s="616"/>
      <c r="B301" s="422"/>
      <c r="C301" s="423"/>
      <c r="D301" s="423"/>
      <c r="E301" s="422"/>
      <c r="F301" s="337"/>
      <c r="G301" s="512"/>
      <c r="H301" s="337"/>
      <c r="I301" s="513"/>
      <c r="J301" s="337"/>
    </row>
    <row r="302" spans="1:10">
      <c r="A302" s="616"/>
      <c r="B302" s="422"/>
      <c r="C302" s="423"/>
      <c r="D302" s="423"/>
      <c r="E302" s="422"/>
      <c r="F302" s="337"/>
      <c r="G302" s="512"/>
      <c r="H302" s="337"/>
      <c r="I302" s="513"/>
      <c r="J302" s="337"/>
    </row>
    <row r="303" spans="1:10">
      <c r="A303" s="616"/>
      <c r="B303" s="422"/>
      <c r="C303" s="423"/>
      <c r="D303" s="423"/>
      <c r="E303" s="422"/>
      <c r="F303" s="337"/>
      <c r="G303" s="512"/>
      <c r="H303" s="337"/>
      <c r="I303" s="513"/>
      <c r="J303" s="337"/>
    </row>
    <row r="304" spans="1:10">
      <c r="A304" s="616"/>
      <c r="B304" s="422"/>
      <c r="C304" s="423"/>
      <c r="D304" s="423"/>
      <c r="E304" s="422"/>
      <c r="F304" s="337"/>
      <c r="G304" s="512"/>
      <c r="H304" s="337"/>
      <c r="I304" s="513"/>
      <c r="J304" s="337"/>
    </row>
    <row r="305" spans="1:10">
      <c r="A305" s="616"/>
      <c r="B305" s="422"/>
      <c r="C305" s="423"/>
      <c r="D305" s="423"/>
      <c r="E305" s="568"/>
      <c r="F305" s="337"/>
      <c r="G305" s="512"/>
      <c r="H305" s="337"/>
      <c r="I305" s="513"/>
      <c r="J305" s="337"/>
    </row>
    <row r="306" spans="1:10">
      <c r="A306" s="616"/>
      <c r="B306" s="422"/>
      <c r="C306" s="423"/>
      <c r="D306" s="423"/>
      <c r="E306" s="422"/>
      <c r="F306" s="337"/>
      <c r="G306" s="512"/>
      <c r="H306" s="337"/>
      <c r="I306" s="513"/>
      <c r="J306" s="337"/>
    </row>
    <row r="307" spans="1:10">
      <c r="A307" s="616"/>
      <c r="B307" s="422"/>
      <c r="C307" s="423"/>
      <c r="D307" s="423"/>
      <c r="E307" s="422"/>
      <c r="F307" s="337"/>
      <c r="G307" s="512"/>
      <c r="H307" s="337"/>
      <c r="I307" s="513"/>
      <c r="J307" s="337"/>
    </row>
    <row r="308" spans="1:10">
      <c r="A308" s="616"/>
      <c r="B308" s="422"/>
      <c r="C308" s="423"/>
      <c r="D308" s="423"/>
      <c r="E308" s="422"/>
      <c r="F308" s="337"/>
      <c r="G308" s="512"/>
      <c r="H308" s="337"/>
      <c r="I308" s="513"/>
      <c r="J308" s="337"/>
    </row>
    <row r="309" spans="1:10">
      <c r="A309" s="616"/>
      <c r="B309" s="422"/>
      <c r="C309" s="423"/>
      <c r="D309" s="423"/>
      <c r="E309" s="422"/>
      <c r="F309" s="337"/>
      <c r="G309" s="512"/>
      <c r="H309" s="337"/>
      <c r="I309" s="513"/>
      <c r="J309" s="337"/>
    </row>
    <row r="310" spans="1:10">
      <c r="A310" s="616"/>
      <c r="B310" s="422"/>
      <c r="C310" s="423"/>
      <c r="D310" s="423"/>
      <c r="E310" s="422"/>
      <c r="F310" s="337"/>
      <c r="G310" s="512"/>
      <c r="H310" s="337"/>
      <c r="I310" s="513"/>
      <c r="J310" s="337"/>
    </row>
    <row r="311" spans="1:10">
      <c r="A311" s="616"/>
      <c r="B311" s="422"/>
      <c r="C311" s="423"/>
      <c r="D311" s="423"/>
      <c r="E311" s="422"/>
      <c r="F311" s="337"/>
      <c r="G311" s="512"/>
      <c r="H311" s="337"/>
      <c r="I311" s="513"/>
      <c r="J311" s="337"/>
    </row>
    <row r="312" spans="1:10">
      <c r="A312" s="616"/>
      <c r="B312" s="422"/>
      <c r="C312" s="423"/>
      <c r="D312" s="423"/>
      <c r="E312" s="422"/>
      <c r="F312" s="337"/>
      <c r="G312" s="512"/>
      <c r="H312" s="337"/>
      <c r="I312" s="513"/>
      <c r="J312" s="337"/>
    </row>
    <row r="313" spans="1:10">
      <c r="A313" s="616"/>
      <c r="B313" s="422"/>
      <c r="C313" s="423"/>
      <c r="D313" s="423"/>
      <c r="E313" s="422"/>
      <c r="F313" s="337"/>
      <c r="G313" s="512"/>
      <c r="H313" s="337"/>
      <c r="I313" s="513"/>
      <c r="J313" s="337"/>
    </row>
    <row r="314" spans="1:10">
      <c r="A314" s="616"/>
      <c r="B314" s="422"/>
      <c r="C314" s="423"/>
      <c r="D314" s="423"/>
      <c r="E314" s="422"/>
      <c r="F314" s="337"/>
      <c r="G314" s="512"/>
      <c r="H314" s="337"/>
      <c r="I314" s="513"/>
      <c r="J314" s="337"/>
    </row>
    <row r="315" spans="1:10">
      <c r="A315" s="616"/>
      <c r="B315" s="422"/>
      <c r="C315" s="423"/>
      <c r="D315" s="423"/>
      <c r="E315" s="422"/>
      <c r="F315" s="337"/>
      <c r="G315" s="512"/>
      <c r="H315" s="337"/>
      <c r="I315" s="513"/>
      <c r="J315" s="337"/>
    </row>
    <row r="316" spans="1:10">
      <c r="A316" s="616"/>
      <c r="B316" s="422"/>
      <c r="C316" s="423"/>
      <c r="D316" s="423"/>
      <c r="E316" s="422"/>
      <c r="F316" s="337"/>
      <c r="G316" s="512"/>
      <c r="H316" s="337"/>
      <c r="I316" s="513"/>
      <c r="J316" s="337"/>
    </row>
    <row r="317" spans="1:10">
      <c r="A317" s="616"/>
      <c r="B317" s="422"/>
      <c r="C317" s="423"/>
      <c r="D317" s="423"/>
      <c r="E317" s="422"/>
      <c r="F317" s="337"/>
      <c r="G317" s="512"/>
      <c r="H317" s="337"/>
      <c r="I317" s="513"/>
      <c r="J317" s="337"/>
    </row>
    <row r="318" spans="1:10">
      <c r="A318" s="616"/>
      <c r="B318" s="422"/>
      <c r="C318" s="423"/>
      <c r="D318" s="423"/>
      <c r="E318" s="422"/>
      <c r="F318" s="337"/>
      <c r="G318" s="512"/>
      <c r="H318" s="337"/>
      <c r="I318" s="513"/>
      <c r="J318" s="337"/>
    </row>
    <row r="319" spans="1:10">
      <c r="A319" s="616"/>
      <c r="B319" s="422"/>
      <c r="C319" s="423"/>
      <c r="D319" s="423"/>
      <c r="E319" s="422"/>
      <c r="F319" s="337"/>
      <c r="G319" s="512"/>
      <c r="H319" s="337"/>
      <c r="I319" s="513"/>
      <c r="J319" s="337"/>
    </row>
    <row r="320" spans="1:10">
      <c r="A320" s="616"/>
      <c r="B320" s="422"/>
      <c r="C320" s="423"/>
      <c r="D320" s="423"/>
      <c r="E320" s="422"/>
      <c r="F320" s="337"/>
      <c r="G320" s="512"/>
      <c r="H320" s="337"/>
      <c r="I320" s="513"/>
      <c r="J320" s="337"/>
    </row>
    <row r="321" spans="1:10">
      <c r="A321" s="616"/>
      <c r="B321" s="422"/>
      <c r="C321" s="423"/>
      <c r="D321" s="423"/>
      <c r="E321" s="422"/>
      <c r="F321" s="337"/>
      <c r="G321" s="512"/>
      <c r="H321" s="337"/>
      <c r="I321" s="513"/>
      <c r="J321" s="337"/>
    </row>
    <row r="322" spans="1:10">
      <c r="A322" s="616"/>
      <c r="B322" s="422"/>
      <c r="C322" s="423"/>
      <c r="D322" s="423"/>
      <c r="E322" s="422"/>
      <c r="F322" s="337"/>
      <c r="G322" s="512"/>
      <c r="H322" s="337"/>
      <c r="I322" s="513"/>
      <c r="J322" s="337"/>
    </row>
    <row r="323" spans="1:10">
      <c r="A323" s="616"/>
      <c r="B323" s="422"/>
      <c r="C323" s="423"/>
      <c r="D323" s="423"/>
      <c r="E323" s="422"/>
      <c r="F323" s="337"/>
      <c r="G323" s="512"/>
      <c r="H323" s="337"/>
      <c r="I323" s="513"/>
      <c r="J323" s="337"/>
    </row>
    <row r="324" spans="1:10">
      <c r="A324" s="616"/>
      <c r="B324" s="422"/>
      <c r="C324" s="423"/>
      <c r="D324" s="423"/>
      <c r="E324" s="422"/>
      <c r="F324" s="337"/>
      <c r="G324" s="512"/>
      <c r="H324" s="337"/>
      <c r="I324" s="513"/>
      <c r="J324" s="337"/>
    </row>
    <row r="325" spans="1:10">
      <c r="A325" s="616"/>
      <c r="B325" s="422"/>
      <c r="C325" s="423"/>
      <c r="D325" s="423"/>
      <c r="E325" s="422"/>
      <c r="F325" s="337"/>
      <c r="G325" s="512"/>
      <c r="H325" s="337"/>
      <c r="I325" s="513"/>
      <c r="J325" s="337"/>
    </row>
    <row r="326" spans="1:10">
      <c r="A326" s="616"/>
      <c r="B326" s="422"/>
      <c r="C326" s="423"/>
      <c r="D326" s="423"/>
      <c r="E326" s="422"/>
      <c r="F326" s="337"/>
      <c r="G326" s="512"/>
      <c r="H326" s="337"/>
      <c r="I326" s="513"/>
      <c r="J326" s="337"/>
    </row>
    <row r="327" spans="1:10">
      <c r="A327" s="616"/>
      <c r="B327" s="422"/>
      <c r="C327" s="423"/>
      <c r="D327" s="423"/>
      <c r="E327" s="422"/>
      <c r="F327" s="337"/>
      <c r="G327" s="512"/>
      <c r="H327" s="337"/>
      <c r="I327" s="513"/>
      <c r="J327" s="337"/>
    </row>
    <row r="328" spans="1:10">
      <c r="A328" s="616"/>
      <c r="B328" s="422"/>
      <c r="C328" s="423"/>
      <c r="D328" s="423"/>
      <c r="E328" s="422"/>
      <c r="F328" s="337"/>
      <c r="G328" s="512"/>
      <c r="H328" s="337"/>
      <c r="I328" s="513"/>
      <c r="J328" s="337"/>
    </row>
    <row r="329" spans="1:10">
      <c r="A329" s="616"/>
      <c r="B329" s="422"/>
      <c r="C329" s="423"/>
      <c r="D329" s="423"/>
      <c r="E329" s="422"/>
      <c r="F329" s="337"/>
      <c r="G329" s="512"/>
      <c r="H329" s="337"/>
      <c r="I329" s="513"/>
      <c r="J329" s="337"/>
    </row>
    <row r="330" spans="1:10">
      <c r="A330" s="616"/>
      <c r="B330" s="422"/>
      <c r="C330" s="423"/>
      <c r="D330" s="423"/>
      <c r="E330" s="422"/>
      <c r="F330" s="337"/>
      <c r="G330" s="512"/>
      <c r="H330" s="337"/>
      <c r="I330" s="513"/>
      <c r="J330" s="337"/>
    </row>
    <row r="331" spans="1:10">
      <c r="A331" s="616"/>
      <c r="B331" s="422"/>
      <c r="C331" s="423"/>
      <c r="D331" s="423"/>
      <c r="E331" s="422"/>
      <c r="F331" s="337"/>
      <c r="G331" s="512"/>
      <c r="H331" s="337"/>
      <c r="I331" s="513"/>
      <c r="J331" s="337"/>
    </row>
    <row r="332" spans="1:10">
      <c r="A332" s="616"/>
      <c r="B332" s="422"/>
      <c r="C332" s="423"/>
      <c r="D332" s="423"/>
      <c r="E332" s="422"/>
      <c r="F332" s="337"/>
      <c r="G332" s="512"/>
      <c r="H332" s="337"/>
      <c r="I332" s="513"/>
      <c r="J332" s="337"/>
    </row>
    <row r="333" spans="1:10">
      <c r="A333" s="616"/>
      <c r="B333" s="422"/>
      <c r="C333" s="423"/>
      <c r="D333" s="423"/>
      <c r="E333" s="422"/>
      <c r="F333" s="337"/>
      <c r="G333" s="512"/>
      <c r="H333" s="337"/>
      <c r="I333" s="513"/>
      <c r="J333" s="337"/>
    </row>
    <row r="334" spans="1:10">
      <c r="A334" s="616"/>
      <c r="B334" s="422"/>
      <c r="C334" s="423"/>
      <c r="D334" s="423"/>
      <c r="E334" s="422"/>
      <c r="F334" s="337"/>
      <c r="G334" s="512"/>
      <c r="H334" s="337"/>
      <c r="I334" s="513"/>
      <c r="J334" s="337"/>
    </row>
    <row r="335" spans="1:10">
      <c r="A335" s="616"/>
      <c r="B335" s="422"/>
      <c r="C335" s="423"/>
      <c r="D335" s="423"/>
      <c r="E335" s="422"/>
      <c r="F335" s="337"/>
      <c r="G335" s="512"/>
      <c r="H335" s="337"/>
      <c r="I335" s="513"/>
      <c r="J335" s="337"/>
    </row>
    <row r="336" spans="1:10">
      <c r="A336" s="616"/>
      <c r="B336" s="422"/>
      <c r="C336" s="423"/>
      <c r="D336" s="423"/>
      <c r="E336" s="422"/>
      <c r="F336" s="337"/>
      <c r="G336" s="512"/>
      <c r="H336" s="337"/>
      <c r="I336" s="513"/>
      <c r="J336" s="337"/>
    </row>
    <row r="337" spans="1:10">
      <c r="A337" s="616"/>
      <c r="B337" s="422"/>
      <c r="C337" s="423"/>
      <c r="D337" s="423"/>
      <c r="E337" s="422"/>
      <c r="F337" s="337"/>
      <c r="G337" s="512"/>
      <c r="H337" s="337"/>
      <c r="I337" s="513"/>
      <c r="J337" s="337"/>
    </row>
    <row r="338" spans="1:10">
      <c r="A338" s="616"/>
      <c r="B338" s="422"/>
      <c r="C338" s="423"/>
      <c r="D338" s="423"/>
      <c r="E338" s="422"/>
      <c r="F338" s="337"/>
      <c r="G338" s="512"/>
      <c r="H338" s="337"/>
      <c r="I338" s="513"/>
      <c r="J338" s="337"/>
    </row>
    <row r="339" spans="1:10">
      <c r="A339" s="616"/>
      <c r="B339" s="422"/>
      <c r="C339" s="423"/>
      <c r="D339" s="423"/>
      <c r="E339" s="422"/>
      <c r="F339" s="337"/>
      <c r="G339" s="512"/>
      <c r="H339" s="337"/>
      <c r="I339" s="513"/>
      <c r="J339" s="337"/>
    </row>
    <row r="340" spans="1:10">
      <c r="A340" s="616"/>
      <c r="B340" s="422"/>
      <c r="C340" s="423"/>
      <c r="D340" s="423"/>
      <c r="E340" s="422"/>
      <c r="F340" s="337"/>
      <c r="G340" s="512"/>
      <c r="H340" s="337"/>
      <c r="I340" s="513"/>
      <c r="J340" s="337"/>
    </row>
    <row r="341" spans="1:10">
      <c r="A341" s="616"/>
      <c r="B341" s="422"/>
      <c r="C341" s="423"/>
      <c r="D341" s="423"/>
      <c r="E341" s="422"/>
      <c r="F341" s="337"/>
      <c r="G341" s="512"/>
      <c r="H341" s="337"/>
      <c r="I341" s="513"/>
      <c r="J341" s="337"/>
    </row>
    <row r="342" spans="1:10">
      <c r="A342" s="616"/>
      <c r="B342" s="422"/>
      <c r="C342" s="423"/>
      <c r="D342" s="423"/>
      <c r="E342" s="422"/>
      <c r="F342" s="337"/>
      <c r="G342" s="512"/>
      <c r="H342" s="337"/>
      <c r="I342" s="513"/>
      <c r="J342" s="337"/>
    </row>
    <row r="343" spans="1:10">
      <c r="A343" s="616"/>
      <c r="B343" s="422"/>
      <c r="C343" s="423"/>
      <c r="D343" s="423"/>
      <c r="E343" s="422"/>
      <c r="F343" s="337"/>
      <c r="G343" s="512"/>
      <c r="H343" s="337"/>
      <c r="I343" s="513"/>
      <c r="J343" s="337"/>
    </row>
    <row r="344" spans="1:10">
      <c r="A344" s="616"/>
      <c r="B344" s="422"/>
      <c r="C344" s="423"/>
      <c r="D344" s="423"/>
      <c r="E344" s="422"/>
      <c r="F344" s="337"/>
      <c r="G344" s="512"/>
      <c r="H344" s="337"/>
      <c r="I344" s="513"/>
      <c r="J344" s="337"/>
    </row>
    <row r="345" spans="1:10">
      <c r="A345" s="616"/>
      <c r="B345" s="422"/>
      <c r="C345" s="423"/>
      <c r="D345" s="423"/>
      <c r="E345" s="422"/>
      <c r="F345" s="337"/>
      <c r="G345" s="512"/>
      <c r="H345" s="337"/>
      <c r="I345" s="513"/>
      <c r="J345" s="337"/>
    </row>
    <row r="346" spans="1:10">
      <c r="A346" s="616"/>
      <c r="B346" s="422"/>
      <c r="C346" s="423"/>
      <c r="D346" s="423"/>
      <c r="E346" s="422"/>
      <c r="F346" s="337"/>
      <c r="G346" s="512"/>
      <c r="H346" s="337"/>
      <c r="I346" s="513"/>
      <c r="J346" s="337"/>
    </row>
    <row r="347" spans="1:10">
      <c r="A347" s="616"/>
      <c r="B347" s="422"/>
      <c r="C347" s="423"/>
      <c r="D347" s="423"/>
      <c r="E347" s="422"/>
      <c r="F347" s="337"/>
      <c r="G347" s="512"/>
      <c r="H347" s="337"/>
      <c r="I347" s="513"/>
      <c r="J347" s="337"/>
    </row>
    <row r="348" spans="1:10">
      <c r="A348" s="616"/>
      <c r="B348" s="422"/>
      <c r="C348" s="423"/>
      <c r="D348" s="423"/>
      <c r="E348" s="422"/>
      <c r="F348" s="337"/>
      <c r="G348" s="512"/>
      <c r="H348" s="337"/>
      <c r="I348" s="513"/>
      <c r="J348" s="337"/>
    </row>
    <row r="349" spans="1:10">
      <c r="A349" s="616"/>
      <c r="B349" s="422"/>
      <c r="C349" s="423"/>
      <c r="D349" s="423"/>
      <c r="E349" s="422"/>
      <c r="F349" s="337"/>
      <c r="G349" s="512"/>
      <c r="H349" s="337"/>
      <c r="I349" s="513"/>
      <c r="J349" s="337"/>
    </row>
    <row r="350" spans="1:10">
      <c r="A350" s="616"/>
      <c r="B350" s="422"/>
      <c r="C350" s="423"/>
      <c r="D350" s="423"/>
      <c r="E350" s="422"/>
      <c r="F350" s="337"/>
      <c r="G350" s="512"/>
      <c r="H350" s="337"/>
      <c r="I350" s="513"/>
      <c r="J350" s="337"/>
    </row>
    <row r="351" spans="1:10">
      <c r="A351" s="616"/>
      <c r="B351" s="422"/>
      <c r="C351" s="423"/>
      <c r="D351" s="423"/>
      <c r="E351" s="422"/>
      <c r="F351" s="337"/>
      <c r="G351" s="512"/>
      <c r="H351" s="337"/>
      <c r="I351" s="513"/>
      <c r="J351" s="337"/>
    </row>
    <row r="352" spans="1:10">
      <c r="A352" s="616"/>
      <c r="B352" s="422"/>
      <c r="C352" s="423"/>
      <c r="D352" s="423"/>
      <c r="E352" s="422"/>
      <c r="F352" s="337"/>
      <c r="G352" s="512"/>
      <c r="H352" s="337"/>
      <c r="I352" s="513"/>
      <c r="J352" s="337"/>
    </row>
    <row r="353" spans="1:10">
      <c r="A353" s="616"/>
      <c r="B353" s="422"/>
      <c r="C353" s="423"/>
      <c r="D353" s="423"/>
      <c r="E353" s="422"/>
      <c r="F353" s="337"/>
      <c r="G353" s="512"/>
      <c r="H353" s="337"/>
      <c r="I353" s="513"/>
      <c r="J353" s="337"/>
    </row>
    <row r="354" spans="1:10">
      <c r="A354" s="616"/>
      <c r="B354" s="422"/>
      <c r="C354" s="423"/>
      <c r="D354" s="423"/>
      <c r="E354" s="422"/>
      <c r="F354" s="337"/>
      <c r="G354" s="512"/>
      <c r="H354" s="337"/>
      <c r="I354" s="513"/>
      <c r="J354" s="337"/>
    </row>
    <row r="355" spans="1:10">
      <c r="A355" s="616"/>
      <c r="B355" s="422"/>
      <c r="C355" s="423"/>
      <c r="D355" s="423"/>
      <c r="E355" s="422"/>
      <c r="F355" s="337"/>
      <c r="G355" s="512"/>
      <c r="H355" s="337"/>
      <c r="I355" s="513"/>
      <c r="J355" s="337"/>
    </row>
    <row r="356" spans="1:10">
      <c r="A356" s="616"/>
      <c r="B356" s="422"/>
      <c r="C356" s="423"/>
      <c r="D356" s="423"/>
      <c r="E356" s="422"/>
      <c r="F356" s="337"/>
      <c r="G356" s="512"/>
      <c r="H356" s="337"/>
      <c r="I356" s="513"/>
      <c r="J356" s="337"/>
    </row>
    <row r="357" spans="1:10">
      <c r="A357"/>
      <c r="B357" s="422"/>
      <c r="C357" s="422"/>
      <c r="D357" s="422"/>
      <c r="E357" s="422"/>
      <c r="F357" s="337"/>
      <c r="G357" s="512"/>
      <c r="H357" s="337"/>
      <c r="I357" s="513"/>
      <c r="J357" s="337"/>
    </row>
    <row r="358" spans="1:10">
      <c r="A358"/>
      <c r="B358" s="422"/>
      <c r="C358" s="422"/>
      <c r="D358" s="422"/>
      <c r="E358" s="422"/>
      <c r="F358" s="337"/>
      <c r="G358" s="512"/>
      <c r="H358" s="337"/>
      <c r="I358" s="513"/>
      <c r="J358" s="337"/>
    </row>
    <row r="359" spans="1:10">
      <c r="A359" s="512"/>
      <c r="B359" s="422"/>
      <c r="C359" s="423"/>
      <c r="D359" s="423"/>
      <c r="E359" s="422"/>
      <c r="F359" s="337"/>
      <c r="G359" s="512"/>
      <c r="H359" s="337"/>
      <c r="I359" s="513"/>
      <c r="J359" s="337"/>
    </row>
    <row r="360" spans="1:10">
      <c r="A360"/>
      <c r="B360"/>
      <c r="C360"/>
      <c r="D360"/>
      <c r="E360" s="422"/>
      <c r="F360" s="337"/>
      <c r="G360" s="512"/>
      <c r="H360" s="337"/>
      <c r="I360" s="513"/>
      <c r="J360" s="337"/>
    </row>
    <row r="361" spans="1:10">
      <c r="A361"/>
      <c r="B361"/>
      <c r="C361"/>
      <c r="D361"/>
      <c r="E361" s="422"/>
      <c r="F361" s="337"/>
      <c r="G361" s="512"/>
      <c r="H361" s="337"/>
      <c r="I361" s="513"/>
      <c r="J361" s="337"/>
    </row>
    <row r="362" spans="1:10">
      <c r="A362"/>
      <c r="B362"/>
      <c r="C362"/>
      <c r="D362"/>
      <c r="E362" s="422"/>
      <c r="F362" s="337"/>
      <c r="G362" s="512"/>
      <c r="H362" s="337"/>
      <c r="I362" s="513"/>
      <c r="J362" s="337"/>
    </row>
    <row r="363" spans="1:10">
      <c r="A363"/>
      <c r="B363"/>
      <c r="C363"/>
      <c r="D363"/>
      <c r="E363" s="422"/>
      <c r="F363" s="337"/>
      <c r="G363" s="512"/>
      <c r="H363" s="337"/>
      <c r="I363" s="513"/>
      <c r="J363" s="337"/>
    </row>
    <row r="364" spans="1:10">
      <c r="A364" s="339"/>
      <c r="B364" s="422"/>
      <c r="C364" s="339"/>
      <c r="D364" s="337"/>
      <c r="E364" s="422"/>
      <c r="F364" s="337"/>
      <c r="G364" s="512"/>
      <c r="H364" s="337"/>
      <c r="I364" s="513"/>
      <c r="J364" s="337"/>
    </row>
    <row r="365" spans="1:10">
      <c r="A365" s="340"/>
      <c r="B365" s="341"/>
      <c r="C365" s="340"/>
      <c r="D365" s="337"/>
      <c r="E365" s="422"/>
      <c r="F365" s="337"/>
      <c r="G365" s="512"/>
      <c r="H365" s="337"/>
      <c r="I365" s="513"/>
      <c r="J365" s="337"/>
    </row>
    <row r="366" spans="1:10">
      <c r="A366" s="337"/>
      <c r="B366" s="337"/>
      <c r="C366" s="337"/>
      <c r="D366" s="337"/>
      <c r="E366" s="423"/>
      <c r="F366" s="337"/>
      <c r="G366" s="512"/>
      <c r="H366" s="337"/>
      <c r="I366" s="513"/>
      <c r="J366" s="337"/>
    </row>
    <row r="367" spans="1:10">
      <c r="A367" s="337"/>
      <c r="B367" s="337"/>
      <c r="C367" s="337"/>
      <c r="D367" s="337"/>
      <c r="E367" s="423"/>
      <c r="F367" s="337"/>
      <c r="G367"/>
      <c r="H367" s="337"/>
      <c r="I367" s="423"/>
      <c r="J367" s="337"/>
    </row>
    <row r="368" spans="1:10">
      <c r="A368" s="337"/>
      <c r="B368" s="337"/>
      <c r="C368" s="337"/>
      <c r="D368" s="337"/>
      <c r="E368" s="423"/>
      <c r="F368" s="337"/>
      <c r="G368"/>
      <c r="H368" s="337"/>
      <c r="I368" s="423"/>
      <c r="J368" s="337"/>
    </row>
    <row r="369" spans="1:10">
      <c r="A369" s="337"/>
      <c r="B369" s="337"/>
      <c r="C369" s="337"/>
      <c r="D369" s="337"/>
      <c r="E369" s="423"/>
      <c r="F369" s="337"/>
      <c r="G369"/>
      <c r="H369" s="337"/>
      <c r="I369" s="423"/>
      <c r="J369" s="337"/>
    </row>
    <row r="370" spans="1:10">
      <c r="A370" s="337"/>
      <c r="B370" s="337"/>
      <c r="C370" s="337"/>
      <c r="D370" s="337"/>
      <c r="E370" s="423"/>
      <c r="F370" s="337"/>
      <c r="G370"/>
      <c r="H370" s="337"/>
      <c r="I370" s="423"/>
      <c r="J370" s="337"/>
    </row>
    <row r="371" spans="1:10">
      <c r="A371" s="337"/>
      <c r="B371" s="337"/>
      <c r="C371" s="337"/>
      <c r="D371" s="337"/>
      <c r="E371" s="423"/>
      <c r="F371" s="337"/>
      <c r="G371" s="339"/>
      <c r="H371" s="337"/>
      <c r="I371" s="423"/>
      <c r="J371" s="337"/>
    </row>
    <row r="372" spans="1:10">
      <c r="A372" s="337"/>
      <c r="B372" s="337"/>
      <c r="C372" s="337"/>
      <c r="D372" s="337"/>
      <c r="E372" s="342"/>
      <c r="F372" s="337"/>
      <c r="G372" s="340"/>
      <c r="H372" s="337"/>
      <c r="I372" s="342"/>
      <c r="J372" s="337"/>
    </row>
    <row r="373" spans="1:10">
      <c r="E373" s="337"/>
      <c r="F373" s="337"/>
      <c r="G373" s="337"/>
      <c r="H373" s="337"/>
      <c r="I373" s="337"/>
      <c r="J373" s="337"/>
    </row>
    <row r="374" spans="1:10">
      <c r="E374" s="337"/>
      <c r="F374" s="337"/>
      <c r="G374" s="337"/>
      <c r="H374" s="337"/>
      <c r="I374" s="337"/>
      <c r="J374" s="337"/>
    </row>
    <row r="375" spans="1:10">
      <c r="E375" s="337"/>
      <c r="F375" s="337"/>
      <c r="G375" s="337"/>
      <c r="H375" s="337"/>
      <c r="I375" s="337"/>
      <c r="J375" s="337"/>
    </row>
    <row r="376" spans="1:10">
      <c r="E376" s="337"/>
      <c r="F376" s="337"/>
      <c r="G376" s="337"/>
      <c r="H376" s="337"/>
      <c r="I376" s="337"/>
      <c r="J376" s="337"/>
    </row>
    <row r="377" spans="1:10">
      <c r="E377" s="337"/>
      <c r="F377" s="337"/>
      <c r="G377" s="337"/>
      <c r="H377" s="337"/>
      <c r="I377" s="337"/>
      <c r="J377" s="337"/>
    </row>
    <row r="378" spans="1:10">
      <c r="E378" s="337"/>
      <c r="F378" s="337"/>
      <c r="G378" s="337"/>
      <c r="H378" s="337"/>
      <c r="I378" s="337"/>
      <c r="J378" s="337"/>
    </row>
    <row r="379" spans="1:10">
      <c r="E379" s="337"/>
      <c r="F379" s="337"/>
      <c r="G379" s="337"/>
      <c r="H379" s="337"/>
      <c r="I379" s="337"/>
      <c r="J379" s="337"/>
    </row>
  </sheetData>
  <sheetProtection password="CC13" sheet="1" objects="1" scenarios="1"/>
  <mergeCells count="1">
    <mergeCell ref="A8:I8"/>
  </mergeCells>
  <phoneticPr fontId="2" type="noConversion"/>
  <dataValidations count="1">
    <dataValidation type="whole" operator="greaterThanOrEqual" showInputMessage="1" showErrorMessage="1" errorTitle="Invalid Data Entry" error="Please enter a positive number or press the delete key or enter zero." sqref="I17 I58 I52:I54 I37 I31">
      <formula1>0</formula1>
    </dataValidation>
  </dataValidations>
  <hyperlinks>
    <hyperlink ref="K1" location="Contents!A1" display="Return to Contents page"/>
  </hyperlinks>
  <printOptions horizontalCentered="1" verticalCentered="1"/>
  <pageMargins left="0.5" right="0.5" top="0.5" bottom="0.5" header="0.5" footer="0.5"/>
  <pageSetup scale="89" orientation="portrait" blackAndWhite="1" horizontalDpi="4294967292" verticalDpi="4294967292"/>
  <headerFooter alignWithMargins="0">
    <oddFooter xml:space="preserve">&amp;L&amp;D     &amp;T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388"/>
  <sheetViews>
    <sheetView workbookViewId="0">
      <selection activeCell="I14" sqref="I14"/>
    </sheetView>
  </sheetViews>
  <sheetFormatPr defaultColWidth="11.42578125" defaultRowHeight="12.75"/>
  <cols>
    <col min="1" max="1" width="8" style="343" customWidth="1"/>
    <col min="2" max="3" width="10.7109375" style="343" customWidth="1"/>
    <col min="4" max="4" width="27.28515625" style="343" customWidth="1"/>
    <col min="5" max="5" width="10.7109375" style="343" customWidth="1"/>
    <col min="6" max="6" width="1.7109375" style="343" customWidth="1"/>
    <col min="7" max="7" width="15.140625" style="343" customWidth="1"/>
    <col min="8" max="8" width="1.7109375" style="343" customWidth="1"/>
    <col min="9" max="9" width="14.28515625" style="347" customWidth="1"/>
    <col min="10" max="10" width="3" style="347" customWidth="1"/>
    <col min="11" max="11" width="20.85546875" style="347" customWidth="1"/>
    <col min="12" max="16384" width="11.42578125" style="347"/>
  </cols>
  <sheetData>
    <row r="1" spans="1:11" ht="15">
      <c r="A1" s="343" t="s">
        <v>223</v>
      </c>
      <c r="G1" s="344" t="s">
        <v>117</v>
      </c>
      <c r="I1" s="345">
        <f>[2]OPEN!$B$4</f>
        <v>395</v>
      </c>
      <c r="J1" s="346"/>
      <c r="K1" s="480" t="s">
        <v>268</v>
      </c>
    </row>
    <row r="2" spans="1:11" ht="15">
      <c r="A2" s="348">
        <f>[2]OPEN!$N$3</f>
        <v>40664</v>
      </c>
      <c r="I2" s="343"/>
      <c r="J2" s="346"/>
    </row>
    <row r="3" spans="1:11" s="346" customFormat="1" ht="15">
      <c r="A3" s="349"/>
      <c r="B3" s="349"/>
      <c r="C3" s="349"/>
      <c r="D3" s="349"/>
      <c r="E3" s="349"/>
      <c r="F3" s="349"/>
      <c r="G3" s="349"/>
      <c r="H3" s="349"/>
      <c r="I3" s="350"/>
    </row>
    <row r="4" spans="1:11" s="346" customFormat="1" ht="15">
      <c r="A4" s="349"/>
      <c r="B4" s="349"/>
      <c r="C4" s="349"/>
      <c r="D4" s="349"/>
      <c r="E4" s="349"/>
      <c r="F4" s="349"/>
      <c r="G4" s="349"/>
      <c r="H4" s="349"/>
      <c r="I4" s="350"/>
    </row>
    <row r="5" spans="1:11" ht="12" customHeight="1">
      <c r="A5" s="351" t="s">
        <v>224</v>
      </c>
      <c r="B5" s="349"/>
      <c r="C5" s="349"/>
      <c r="D5" s="349"/>
      <c r="E5" s="349"/>
      <c r="F5" s="349"/>
      <c r="G5" s="349"/>
      <c r="H5" s="349"/>
      <c r="I5" s="349"/>
      <c r="J5" s="346"/>
    </row>
    <row r="6" spans="1:11" ht="12" customHeight="1">
      <c r="A6" s="351" t="s">
        <v>225</v>
      </c>
      <c r="B6" s="349"/>
      <c r="C6" s="349"/>
      <c r="D6" s="349"/>
      <c r="E6" s="349"/>
      <c r="F6" s="349"/>
      <c r="G6" s="349"/>
      <c r="H6" s="349"/>
      <c r="I6" s="349"/>
      <c r="J6" s="346"/>
    </row>
    <row r="7" spans="1:11" ht="12" customHeight="1">
      <c r="A7" s="351" t="str">
        <f>[2]OPEN!$N$2</f>
        <v>2011-2012</v>
      </c>
      <c r="B7" s="349"/>
      <c r="C7" s="349"/>
      <c r="D7" s="349"/>
      <c r="E7" s="349"/>
      <c r="F7" s="349"/>
      <c r="G7" s="349"/>
      <c r="H7" s="349"/>
      <c r="I7" s="349"/>
      <c r="J7" s="346"/>
    </row>
    <row r="8" spans="1:11" ht="12" customHeight="1">
      <c r="A8" s="351" t="s">
        <v>72</v>
      </c>
      <c r="B8" s="349"/>
      <c r="C8" s="349"/>
      <c r="D8" s="349"/>
      <c r="E8" s="349"/>
      <c r="F8" s="349"/>
      <c r="G8" s="349"/>
      <c r="H8" s="349"/>
      <c r="I8" s="349"/>
      <c r="J8" s="346"/>
    </row>
    <row r="9" spans="1:11" ht="12" customHeight="1">
      <c r="A9" s="351" t="s">
        <v>73</v>
      </c>
      <c r="B9" s="349"/>
      <c r="C9" s="349"/>
      <c r="D9" s="349"/>
      <c r="E9" s="349"/>
      <c r="F9" s="349"/>
      <c r="G9" s="349"/>
      <c r="H9" s="349"/>
      <c r="I9" s="349"/>
      <c r="J9" s="346"/>
    </row>
    <row r="10" spans="1:11" ht="12" customHeight="1">
      <c r="I10" s="343"/>
      <c r="J10" s="346"/>
    </row>
    <row r="11" spans="1:11" ht="12" customHeight="1">
      <c r="A11" s="343" t="s">
        <v>74</v>
      </c>
      <c r="I11" s="343"/>
      <c r="J11" s="346"/>
    </row>
    <row r="12" spans="1:11" ht="12" customHeight="1">
      <c r="A12" s="343" t="s">
        <v>75</v>
      </c>
      <c r="I12" s="343"/>
      <c r="J12" s="346"/>
    </row>
    <row r="13" spans="1:11" ht="12" customHeight="1">
      <c r="I13" s="343"/>
      <c r="J13" s="346"/>
    </row>
    <row r="14" spans="1:11" ht="12" customHeight="1">
      <c r="A14" s="343" t="str">
        <f>'F239'!A31</f>
        <v>1.  Estimated 2011-2012 bond and interest fund payments</v>
      </c>
      <c r="H14" s="343" t="s">
        <v>292</v>
      </c>
      <c r="I14" s="352"/>
      <c r="J14" s="346"/>
    </row>
    <row r="15" spans="1:11" ht="12" customHeight="1">
      <c r="I15" s="580"/>
      <c r="J15" s="346"/>
    </row>
    <row r="16" spans="1:11" ht="12" customHeight="1">
      <c r="A16" s="343" t="s">
        <v>514</v>
      </c>
      <c r="H16" s="343" t="s">
        <v>292</v>
      </c>
      <c r="I16" s="352"/>
      <c r="J16" s="346"/>
    </row>
    <row r="17" spans="1:10" ht="12" customHeight="1">
      <c r="I17" s="343"/>
      <c r="J17" s="346"/>
    </row>
    <row r="18" spans="1:10" ht="12" customHeight="1">
      <c r="A18" s="343" t="s">
        <v>522</v>
      </c>
      <c r="E18" s="353">
        <f>VLOOKUP(I1,[2]DATA!A3:AD288,29,FALSE)</f>
        <v>0</v>
      </c>
      <c r="G18" s="343" t="s">
        <v>212</v>
      </c>
      <c r="H18" s="343" t="s">
        <v>292</v>
      </c>
      <c r="I18" s="354">
        <f>(I14-I16)*E18</f>
        <v>0</v>
      </c>
      <c r="J18" s="346"/>
    </row>
    <row r="19" spans="1:10" ht="12" customHeight="1">
      <c r="I19" s="343"/>
      <c r="J19" s="346"/>
    </row>
    <row r="20" spans="1:10" ht="14.25" customHeight="1">
      <c r="A20" s="343" t="s">
        <v>434</v>
      </c>
      <c r="H20" s="355" t="s">
        <v>70</v>
      </c>
      <c r="I20" s="356"/>
      <c r="J20" s="346"/>
    </row>
    <row r="21" spans="1:10" ht="14.25" customHeight="1">
      <c r="H21" s="355"/>
      <c r="I21" s="495"/>
      <c r="J21" s="346"/>
    </row>
    <row r="22" spans="1:10" ht="14.25" customHeight="1">
      <c r="A22" s="343" t="s">
        <v>334</v>
      </c>
      <c r="H22" s="355" t="s">
        <v>70</v>
      </c>
      <c r="I22" s="356"/>
      <c r="J22" s="346"/>
    </row>
    <row r="23" spans="1:10" ht="13.5" customHeight="1">
      <c r="H23" s="355"/>
      <c r="I23" s="495"/>
      <c r="J23" s="346"/>
    </row>
    <row r="24" spans="1:10" ht="14.25" customHeight="1">
      <c r="A24" s="347" t="s">
        <v>435</v>
      </c>
      <c r="H24" s="343" t="s">
        <v>292</v>
      </c>
      <c r="I24" s="357">
        <f>IF(I18-(I20+I22)&lt;0,0,I18-(I20+I22))</f>
        <v>0</v>
      </c>
      <c r="J24" s="346"/>
    </row>
    <row r="25" spans="1:10" ht="12" customHeight="1">
      <c r="A25" s="343" t="str">
        <f>'F239'!A42</f>
        <v xml:space="preserve">     (July 1,2011 through June 30, 2012) (Line 3 - (Line 4 + Line 5))</v>
      </c>
      <c r="B25" s="358"/>
      <c r="C25" s="358"/>
      <c r="D25" s="358"/>
      <c r="E25" s="358"/>
      <c r="F25" s="358"/>
      <c r="G25" s="358"/>
      <c r="H25" s="358"/>
      <c r="I25" s="358"/>
      <c r="J25" s="346"/>
    </row>
    <row r="26" spans="1:10" ht="12" customHeight="1">
      <c r="G26" s="344" t="s">
        <v>361</v>
      </c>
      <c r="I26" s="345">
        <f>I1</f>
        <v>395</v>
      </c>
      <c r="J26" s="346"/>
    </row>
    <row r="27" spans="1:10" ht="12" customHeight="1">
      <c r="A27" s="351" t="s">
        <v>226</v>
      </c>
      <c r="B27" s="349"/>
      <c r="C27" s="349"/>
      <c r="D27" s="349"/>
      <c r="E27" s="349"/>
      <c r="F27" s="349"/>
      <c r="G27" s="349"/>
      <c r="H27" s="349"/>
      <c r="I27" s="349"/>
      <c r="J27" s="346"/>
    </row>
    <row r="28" spans="1:10" ht="12" customHeight="1">
      <c r="A28" s="351" t="s">
        <v>225</v>
      </c>
      <c r="B28" s="349"/>
      <c r="C28" s="349"/>
      <c r="D28" s="349"/>
      <c r="E28" s="349"/>
      <c r="F28" s="349"/>
      <c r="G28" s="349"/>
      <c r="H28" s="349"/>
      <c r="I28" s="349"/>
      <c r="J28" s="346"/>
    </row>
    <row r="29" spans="1:10" ht="12" customHeight="1">
      <c r="A29" s="351" t="str">
        <f>A7</f>
        <v>2011-2012</v>
      </c>
      <c r="B29" s="349"/>
      <c r="C29" s="349"/>
      <c r="D29" s="349"/>
      <c r="E29" s="349"/>
      <c r="F29" s="349"/>
      <c r="G29" s="349"/>
      <c r="H29" s="349"/>
      <c r="I29" s="349"/>
      <c r="J29" s="346"/>
    </row>
    <row r="30" spans="1:10" ht="12" customHeight="1">
      <c r="A30" s="351" t="s">
        <v>72</v>
      </c>
      <c r="B30" s="349"/>
      <c r="C30" s="349"/>
      <c r="D30" s="349"/>
      <c r="E30" s="349"/>
      <c r="F30" s="349"/>
      <c r="G30" s="349"/>
      <c r="H30" s="349"/>
      <c r="I30" s="349"/>
      <c r="J30" s="346"/>
    </row>
    <row r="31" spans="1:10" ht="12" customHeight="1">
      <c r="A31" s="351" t="s">
        <v>222</v>
      </c>
      <c r="B31" s="349"/>
      <c r="C31" s="349"/>
      <c r="D31" s="349"/>
      <c r="E31" s="349"/>
      <c r="F31" s="349"/>
      <c r="G31" s="349"/>
      <c r="H31" s="349"/>
      <c r="I31" s="349"/>
      <c r="J31" s="346"/>
    </row>
    <row r="32" spans="1:10" ht="12" customHeight="1">
      <c r="I32" s="343"/>
      <c r="J32" s="346"/>
    </row>
    <row r="33" spans="1:10" ht="12" customHeight="1">
      <c r="A33" s="343" t="s">
        <v>74</v>
      </c>
      <c r="I33" s="343"/>
      <c r="J33" s="346"/>
    </row>
    <row r="34" spans="1:10" ht="12" customHeight="1">
      <c r="A34" s="343" t="s">
        <v>75</v>
      </c>
      <c r="I34" s="343"/>
      <c r="J34" s="346"/>
    </row>
    <row r="35" spans="1:10" ht="12" customHeight="1">
      <c r="I35" s="343"/>
      <c r="J35" s="346"/>
    </row>
    <row r="36" spans="1:10" ht="12" customHeight="1">
      <c r="A36" s="343" t="str">
        <f>'F239'!A52</f>
        <v>1.  Estimated 2011-2012 bond and interest fund payments</v>
      </c>
      <c r="H36" s="343" t="s">
        <v>292</v>
      </c>
      <c r="I36" s="352"/>
      <c r="J36" s="346"/>
    </row>
    <row r="37" spans="1:10" ht="12" customHeight="1">
      <c r="I37" s="580"/>
      <c r="J37" s="346"/>
    </row>
    <row r="38" spans="1:10" ht="12" customHeight="1">
      <c r="A38" s="343" t="s">
        <v>514</v>
      </c>
      <c r="H38" s="343" t="s">
        <v>292</v>
      </c>
      <c r="I38" s="352"/>
      <c r="J38" s="346"/>
    </row>
    <row r="39" spans="1:10" ht="12" customHeight="1">
      <c r="I39" s="343"/>
      <c r="J39" s="346"/>
    </row>
    <row r="40" spans="1:10" ht="12" customHeight="1">
      <c r="A40" s="343" t="s">
        <v>522</v>
      </c>
      <c r="E40" s="353">
        <f>VLOOKUP(I1,[2]DATA!A2:AD288,30,FALSE)</f>
        <v>0.13</v>
      </c>
      <c r="G40" s="343" t="s">
        <v>212</v>
      </c>
      <c r="H40" s="343" t="s">
        <v>292</v>
      </c>
      <c r="I40" s="354">
        <f>(I36-I38)*E40</f>
        <v>0</v>
      </c>
      <c r="J40" s="346"/>
    </row>
    <row r="41" spans="1:10" ht="12" customHeight="1">
      <c r="I41" s="343"/>
      <c r="J41" s="346"/>
    </row>
    <row r="42" spans="1:10" ht="12" customHeight="1">
      <c r="A42" s="347" t="s">
        <v>434</v>
      </c>
      <c r="H42" s="355" t="s">
        <v>70</v>
      </c>
      <c r="I42" s="356"/>
      <c r="J42" s="346"/>
    </row>
    <row r="43" spans="1:10" ht="12" customHeight="1">
      <c r="A43" s="347"/>
      <c r="H43" s="355"/>
      <c r="I43" s="495"/>
      <c r="J43" s="346"/>
    </row>
    <row r="44" spans="1:10" ht="12" customHeight="1">
      <c r="A44" s="347" t="s">
        <v>334</v>
      </c>
      <c r="H44" s="355" t="s">
        <v>70</v>
      </c>
      <c r="I44" s="356"/>
      <c r="J44" s="346"/>
    </row>
    <row r="45" spans="1:10" ht="12" customHeight="1">
      <c r="A45" s="347"/>
      <c r="H45" s="347"/>
      <c r="J45" s="346"/>
    </row>
    <row r="46" spans="1:10" ht="12" customHeight="1">
      <c r="A46" s="343" t="s">
        <v>435</v>
      </c>
      <c r="H46" s="343" t="s">
        <v>292</v>
      </c>
      <c r="I46" s="357">
        <f>IF(I40-(I42+I44)&lt;0,0,I40-(I42+I44))</f>
        <v>0</v>
      </c>
      <c r="J46" s="346"/>
    </row>
    <row r="47" spans="1:10" ht="12" customHeight="1">
      <c r="A47" s="343" t="str">
        <f>'F239'!A63</f>
        <v xml:space="preserve">     (July 1, 2011 through June 30, 2012) (Line 3 - (Line 4 + Line 5))</v>
      </c>
      <c r="I47" s="343"/>
      <c r="J47" s="346"/>
    </row>
    <row r="48" spans="1:10" ht="12" customHeight="1">
      <c r="I48" s="343"/>
      <c r="J48" s="346"/>
    </row>
    <row r="49" spans="1:10" ht="12" customHeight="1">
      <c r="I49" s="343"/>
    </row>
    <row r="50" spans="1:10" ht="12" customHeight="1">
      <c r="I50" s="343"/>
    </row>
    <row r="51" spans="1:10">
      <c r="I51" s="343"/>
    </row>
    <row r="52" spans="1:10">
      <c r="I52" s="343"/>
    </row>
    <row r="53" spans="1:10">
      <c r="I53" s="343"/>
    </row>
    <row r="54" spans="1:10">
      <c r="I54" s="343"/>
    </row>
    <row r="55" spans="1:10">
      <c r="I55" s="343"/>
    </row>
    <row r="56" spans="1:10">
      <c r="I56" s="343"/>
    </row>
    <row r="57" spans="1:10" ht="15">
      <c r="A57" s="359"/>
      <c r="B57" s="360"/>
      <c r="C57" s="360"/>
      <c r="D57" s="360"/>
      <c r="E57" s="360"/>
      <c r="F57" s="360"/>
      <c r="G57" s="360"/>
      <c r="H57" s="360"/>
      <c r="I57" s="360"/>
    </row>
    <row r="58" spans="1:10" ht="15">
      <c r="A58" s="362"/>
      <c r="B58" s="361"/>
      <c r="C58" s="362"/>
      <c r="D58" s="424"/>
      <c r="E58" s="361"/>
      <c r="F58" s="361"/>
      <c r="G58" s="362"/>
      <c r="H58" s="361"/>
      <c r="I58" s="361"/>
      <c r="J58" s="363"/>
    </row>
    <row r="59" spans="1:10" ht="15">
      <c r="A59" s="361"/>
      <c r="B59" s="361"/>
      <c r="C59" s="362"/>
      <c r="D59" s="362"/>
      <c r="E59" s="362"/>
      <c r="F59" s="362"/>
      <c r="G59" s="362"/>
      <c r="H59" s="362"/>
      <c r="I59" s="362"/>
      <c r="J59" s="364"/>
    </row>
    <row r="60" spans="1:10" ht="15">
      <c r="A60" s="363"/>
      <c r="B60" s="363"/>
      <c r="C60" s="512"/>
      <c r="D60" s="361"/>
      <c r="E60" s="513"/>
      <c r="F60" s="361"/>
      <c r="G60" s="512"/>
      <c r="H60" s="361"/>
      <c r="I60" s="513"/>
      <c r="J60" s="363"/>
    </row>
    <row r="61" spans="1:10" ht="15">
      <c r="A61" s="363"/>
      <c r="B61" s="363"/>
      <c r="C61" s="512"/>
      <c r="D61" s="361"/>
      <c r="E61" s="513"/>
      <c r="F61" s="361"/>
      <c r="G61" s="512"/>
      <c r="H61" s="361"/>
      <c r="I61" s="513"/>
      <c r="J61" s="363"/>
    </row>
    <row r="62" spans="1:10" ht="15">
      <c r="A62" s="363"/>
      <c r="B62" s="363"/>
      <c r="C62" s="512"/>
      <c r="D62" s="361"/>
      <c r="E62" s="513"/>
      <c r="F62" s="361"/>
      <c r="G62" s="512"/>
      <c r="H62" s="361"/>
      <c r="I62" s="513"/>
      <c r="J62" s="363"/>
    </row>
    <row r="63" spans="1:10" ht="15">
      <c r="A63" s="363"/>
      <c r="B63" s="363"/>
      <c r="C63" s="512"/>
      <c r="D63" s="361"/>
      <c r="E63" s="513"/>
      <c r="F63" s="361"/>
      <c r="G63" s="512"/>
      <c r="H63" s="361"/>
      <c r="I63" s="513"/>
      <c r="J63" s="363"/>
    </row>
    <row r="64" spans="1:10" ht="15">
      <c r="A64" s="363"/>
      <c r="B64" s="363"/>
      <c r="C64" s="512"/>
      <c r="D64" s="361"/>
      <c r="E64" s="513"/>
      <c r="F64" s="361"/>
      <c r="G64" s="512"/>
      <c r="H64" s="361"/>
      <c r="I64" s="513"/>
      <c r="J64" s="363"/>
    </row>
    <row r="65" spans="1:10" ht="15">
      <c r="A65" s="363"/>
      <c r="B65" s="363"/>
      <c r="C65" s="512"/>
      <c r="D65" s="361"/>
      <c r="E65" s="513"/>
      <c r="F65" s="361"/>
      <c r="G65" s="512"/>
      <c r="H65" s="361"/>
      <c r="I65" s="513"/>
      <c r="J65" s="363"/>
    </row>
    <row r="66" spans="1:10" ht="15">
      <c r="A66" s="363"/>
      <c r="B66" s="363"/>
      <c r="C66" s="512"/>
      <c r="D66" s="361"/>
      <c r="E66" s="513"/>
      <c r="F66" s="361"/>
      <c r="G66" s="512"/>
      <c r="H66" s="361"/>
      <c r="I66" s="513"/>
      <c r="J66" s="363"/>
    </row>
    <row r="67" spans="1:10" ht="15">
      <c r="A67" s="363"/>
      <c r="B67" s="363"/>
      <c r="C67" s="512"/>
      <c r="D67" s="361"/>
      <c r="E67" s="513"/>
      <c r="F67" s="361"/>
      <c r="G67" s="512"/>
      <c r="H67" s="361"/>
      <c r="I67" s="513"/>
      <c r="J67" s="363"/>
    </row>
    <row r="68" spans="1:10" ht="15">
      <c r="A68" s="363"/>
      <c r="B68" s="363"/>
      <c r="C68" s="512"/>
      <c r="D68" s="361"/>
      <c r="E68" s="513"/>
      <c r="F68" s="361"/>
      <c r="G68" s="512"/>
      <c r="H68" s="361"/>
      <c r="I68" s="513"/>
      <c r="J68" s="363"/>
    </row>
    <row r="69" spans="1:10" ht="15">
      <c r="A69" s="363"/>
      <c r="B69" s="363"/>
      <c r="C69" s="512"/>
      <c r="D69" s="361"/>
      <c r="E69" s="513"/>
      <c r="F69" s="361"/>
      <c r="G69" s="512"/>
      <c r="H69" s="361"/>
      <c r="I69" s="513"/>
      <c r="J69" s="363"/>
    </row>
    <row r="70" spans="1:10" ht="15">
      <c r="A70" s="363"/>
      <c r="B70" s="363"/>
      <c r="C70" s="512"/>
      <c r="D70" s="361"/>
      <c r="E70" s="513"/>
      <c r="F70" s="361"/>
      <c r="G70" s="512"/>
      <c r="H70" s="361"/>
      <c r="I70" s="513"/>
      <c r="J70" s="363"/>
    </row>
    <row r="71" spans="1:10" ht="15">
      <c r="A71" s="363"/>
      <c r="B71" s="363"/>
      <c r="C71" s="512"/>
      <c r="D71" s="361"/>
      <c r="E71" s="513"/>
      <c r="F71" s="361"/>
      <c r="G71" s="512"/>
      <c r="H71" s="361"/>
      <c r="I71" s="513"/>
      <c r="J71" s="363"/>
    </row>
    <row r="72" spans="1:10" ht="15">
      <c r="A72" s="363"/>
      <c r="B72" s="363"/>
      <c r="C72" s="512"/>
      <c r="D72" s="361"/>
      <c r="E72" s="513"/>
      <c r="F72" s="361"/>
      <c r="G72" s="512"/>
      <c r="H72" s="361"/>
      <c r="I72" s="513"/>
      <c r="J72" s="363"/>
    </row>
    <row r="73" spans="1:10" ht="15">
      <c r="A73" s="363"/>
      <c r="B73" s="363"/>
      <c r="C73" s="512"/>
      <c r="D73" s="361"/>
      <c r="E73" s="513"/>
      <c r="F73" s="361"/>
      <c r="G73" s="512"/>
      <c r="H73" s="361"/>
      <c r="I73" s="513"/>
      <c r="J73" s="363"/>
    </row>
    <row r="74" spans="1:10" ht="15">
      <c r="A74" s="363"/>
      <c r="B74" s="363"/>
      <c r="C74" s="512"/>
      <c r="D74" s="361"/>
      <c r="E74" s="513"/>
      <c r="F74" s="361"/>
      <c r="G74" s="512"/>
      <c r="H74" s="361"/>
      <c r="I74" s="513"/>
      <c r="J74" s="363"/>
    </row>
    <row r="75" spans="1:10" ht="15">
      <c r="A75" s="363"/>
      <c r="B75" s="363"/>
      <c r="C75" s="512"/>
      <c r="D75" s="361"/>
      <c r="E75" s="513"/>
      <c r="F75" s="361"/>
      <c r="G75" s="512"/>
      <c r="H75" s="361"/>
      <c r="I75" s="513"/>
      <c r="J75" s="363"/>
    </row>
    <row r="76" spans="1:10" ht="15">
      <c r="A76" s="363"/>
      <c r="B76" s="363"/>
      <c r="C76" s="512"/>
      <c r="D76" s="361"/>
      <c r="E76" s="513"/>
      <c r="F76" s="361"/>
      <c r="G76" s="512"/>
      <c r="H76" s="361"/>
      <c r="I76" s="513"/>
      <c r="J76" s="363"/>
    </row>
    <row r="77" spans="1:10" ht="15">
      <c r="A77" s="363"/>
      <c r="B77" s="363"/>
      <c r="C77" s="512"/>
      <c r="D77" s="361"/>
      <c r="E77" s="513"/>
      <c r="F77" s="361"/>
      <c r="G77" s="512"/>
      <c r="H77" s="361"/>
      <c r="I77" s="513"/>
      <c r="J77" s="363"/>
    </row>
    <row r="78" spans="1:10" ht="15">
      <c r="A78" s="363"/>
      <c r="B78" s="363"/>
      <c r="C78" s="512"/>
      <c r="D78" s="361"/>
      <c r="E78" s="513"/>
      <c r="F78" s="361"/>
      <c r="G78" s="512"/>
      <c r="H78" s="361"/>
      <c r="I78" s="513"/>
      <c r="J78" s="363"/>
    </row>
    <row r="79" spans="1:10" ht="15">
      <c r="A79" s="363"/>
      <c r="B79" s="363"/>
      <c r="C79" s="512"/>
      <c r="D79" s="361"/>
      <c r="E79" s="513"/>
      <c r="F79" s="361"/>
      <c r="G79" s="512"/>
      <c r="H79" s="361"/>
      <c r="I79" s="513"/>
      <c r="J79" s="363"/>
    </row>
    <row r="80" spans="1:10" ht="15">
      <c r="A80" s="363"/>
      <c r="B80" s="363"/>
      <c r="C80" s="512"/>
      <c r="D80" s="361"/>
      <c r="E80" s="513"/>
      <c r="F80" s="361"/>
      <c r="G80" s="512"/>
      <c r="H80" s="361"/>
      <c r="I80" s="513"/>
      <c r="J80" s="363"/>
    </row>
    <row r="81" spans="1:10" ht="15">
      <c r="A81" s="363"/>
      <c r="B81" s="363"/>
      <c r="C81" s="512"/>
      <c r="D81" s="361"/>
      <c r="E81" s="513"/>
      <c r="F81" s="361"/>
      <c r="G81" s="512"/>
      <c r="H81" s="361"/>
      <c r="I81" s="513"/>
      <c r="J81" s="363"/>
    </row>
    <row r="82" spans="1:10" ht="15">
      <c r="A82" s="363"/>
      <c r="B82" s="363"/>
      <c r="C82" s="512"/>
      <c r="D82" s="361"/>
      <c r="E82" s="513"/>
      <c r="F82" s="361"/>
      <c r="G82" s="512"/>
      <c r="H82" s="361"/>
      <c r="I82" s="513"/>
      <c r="J82" s="363"/>
    </row>
    <row r="83" spans="1:10" ht="15">
      <c r="A83" s="363"/>
      <c r="B83" s="363"/>
      <c r="C83" s="512"/>
      <c r="D83" s="361"/>
      <c r="E83" s="513"/>
      <c r="F83" s="361"/>
      <c r="G83" s="512"/>
      <c r="H83" s="361"/>
      <c r="I83" s="513"/>
      <c r="J83" s="363"/>
    </row>
    <row r="84" spans="1:10" ht="15">
      <c r="A84" s="363"/>
      <c r="B84" s="363"/>
      <c r="C84" s="512"/>
      <c r="D84" s="361"/>
      <c r="E84" s="513"/>
      <c r="F84" s="361"/>
      <c r="G84" s="512"/>
      <c r="H84" s="361"/>
      <c r="I84" s="513"/>
      <c r="J84" s="363"/>
    </row>
    <row r="85" spans="1:10" ht="15">
      <c r="A85" s="363"/>
      <c r="B85" s="363"/>
      <c r="C85" s="512"/>
      <c r="D85" s="361"/>
      <c r="E85" s="513"/>
      <c r="F85" s="361"/>
      <c r="G85" s="512"/>
      <c r="H85" s="361"/>
      <c r="I85" s="513"/>
      <c r="J85" s="363"/>
    </row>
    <row r="86" spans="1:10" ht="15">
      <c r="A86" s="363"/>
      <c r="B86" s="363"/>
      <c r="C86" s="512"/>
      <c r="D86" s="361"/>
      <c r="E86" s="513"/>
      <c r="F86" s="361"/>
      <c r="G86" s="512"/>
      <c r="H86" s="361"/>
      <c r="I86" s="513"/>
      <c r="J86" s="363"/>
    </row>
    <row r="87" spans="1:10" ht="15">
      <c r="A87" s="363"/>
      <c r="B87" s="363"/>
      <c r="C87" s="512"/>
      <c r="D87" s="361"/>
      <c r="E87" s="513"/>
      <c r="F87" s="361"/>
      <c r="G87" s="512"/>
      <c r="H87" s="361"/>
      <c r="I87" s="513"/>
      <c r="J87" s="363"/>
    </row>
    <row r="88" spans="1:10" ht="15">
      <c r="A88" s="363"/>
      <c r="B88" s="363"/>
      <c r="C88" s="512"/>
      <c r="D88" s="361"/>
      <c r="E88" s="513"/>
      <c r="F88" s="361"/>
      <c r="G88" s="512"/>
      <c r="H88" s="361"/>
      <c r="I88" s="513"/>
      <c r="J88" s="363"/>
    </row>
    <row r="89" spans="1:10" ht="15">
      <c r="A89" s="363"/>
      <c r="B89" s="363"/>
      <c r="C89" s="512"/>
      <c r="D89" s="361"/>
      <c r="E89" s="513"/>
      <c r="F89" s="361"/>
      <c r="G89" s="512"/>
      <c r="H89" s="361"/>
      <c r="I89" s="513"/>
      <c r="J89" s="363"/>
    </row>
    <row r="90" spans="1:10" ht="15">
      <c r="A90" s="363"/>
      <c r="B90" s="363"/>
      <c r="C90" s="512"/>
      <c r="D90" s="361"/>
      <c r="E90" s="513"/>
      <c r="F90" s="361"/>
      <c r="G90" s="512"/>
      <c r="H90" s="361"/>
      <c r="I90" s="513"/>
      <c r="J90" s="363"/>
    </row>
    <row r="91" spans="1:10" ht="15">
      <c r="A91" s="363"/>
      <c r="B91" s="363"/>
      <c r="C91" s="512"/>
      <c r="D91" s="361"/>
      <c r="E91" s="513"/>
      <c r="F91" s="361"/>
      <c r="G91" s="512"/>
      <c r="H91" s="361"/>
      <c r="I91" s="513"/>
      <c r="J91" s="363"/>
    </row>
    <row r="92" spans="1:10" ht="15">
      <c r="A92" s="363"/>
      <c r="B92" s="363"/>
      <c r="C92" s="512"/>
      <c r="D92" s="361"/>
      <c r="E92" s="513"/>
      <c r="F92" s="361"/>
      <c r="G92" s="512"/>
      <c r="H92" s="361"/>
      <c r="I92" s="513"/>
      <c r="J92" s="363"/>
    </row>
    <row r="93" spans="1:10" ht="15">
      <c r="A93" s="363"/>
      <c r="B93" s="363"/>
      <c r="C93" s="512"/>
      <c r="D93" s="361"/>
      <c r="E93" s="513"/>
      <c r="F93" s="361"/>
      <c r="G93" s="512"/>
      <c r="H93" s="361"/>
      <c r="I93" s="513"/>
      <c r="J93" s="363"/>
    </row>
    <row r="94" spans="1:10" ht="15">
      <c r="A94" s="363"/>
      <c r="B94" s="363"/>
      <c r="C94" s="512"/>
      <c r="D94" s="361"/>
      <c r="E94" s="513"/>
      <c r="F94" s="361"/>
      <c r="G94" s="512"/>
      <c r="H94" s="361"/>
      <c r="I94" s="513"/>
      <c r="J94" s="363"/>
    </row>
    <row r="95" spans="1:10" ht="15">
      <c r="A95" s="363"/>
      <c r="B95" s="363"/>
      <c r="C95" s="512"/>
      <c r="D95" s="361"/>
      <c r="E95" s="513"/>
      <c r="F95" s="361"/>
      <c r="G95" s="512"/>
      <c r="H95" s="361"/>
      <c r="I95" s="513"/>
      <c r="J95" s="363"/>
    </row>
    <row r="96" spans="1:10" ht="15">
      <c r="A96" s="363"/>
      <c r="B96" s="363"/>
      <c r="C96" s="512"/>
      <c r="D96" s="361"/>
      <c r="E96" s="513"/>
      <c r="F96" s="361"/>
      <c r="G96" s="512"/>
      <c r="H96" s="361"/>
      <c r="I96" s="513"/>
      <c r="J96" s="363"/>
    </row>
    <row r="97" spans="1:10" ht="15">
      <c r="A97" s="363"/>
      <c r="B97" s="363"/>
      <c r="C97" s="512"/>
      <c r="D97" s="361"/>
      <c r="E97" s="513"/>
      <c r="F97" s="361"/>
      <c r="G97" s="512"/>
      <c r="H97" s="361"/>
      <c r="I97" s="513"/>
      <c r="J97" s="363"/>
    </row>
    <row r="98" spans="1:10" ht="15">
      <c r="A98" s="363"/>
      <c r="B98" s="363"/>
      <c r="C98" s="512"/>
      <c r="D98" s="361"/>
      <c r="E98" s="513"/>
      <c r="F98" s="361"/>
      <c r="G98" s="512"/>
      <c r="H98" s="361"/>
      <c r="I98" s="513"/>
      <c r="J98" s="363"/>
    </row>
    <row r="99" spans="1:10" ht="15">
      <c r="A99" s="363"/>
      <c r="B99" s="363"/>
      <c r="C99" s="512"/>
      <c r="D99" s="361"/>
      <c r="E99" s="513"/>
      <c r="F99" s="361"/>
      <c r="G99" s="512"/>
      <c r="H99" s="361"/>
      <c r="I99" s="513"/>
      <c r="J99" s="363"/>
    </row>
    <row r="100" spans="1:10" ht="15">
      <c r="A100" s="363"/>
      <c r="B100" s="363"/>
      <c r="C100" s="512"/>
      <c r="D100" s="361"/>
      <c r="E100" s="513"/>
      <c r="F100" s="361"/>
      <c r="G100" s="512"/>
      <c r="H100" s="361"/>
      <c r="I100" s="513"/>
      <c r="J100" s="363"/>
    </row>
    <row r="101" spans="1:10" ht="15">
      <c r="A101" s="363"/>
      <c r="B101" s="363"/>
      <c r="C101" s="512"/>
      <c r="D101" s="361"/>
      <c r="E101" s="513"/>
      <c r="F101" s="361"/>
      <c r="G101" s="512"/>
      <c r="H101" s="361"/>
      <c r="I101" s="513"/>
      <c r="J101" s="363"/>
    </row>
    <row r="102" spans="1:10" ht="15">
      <c r="A102" s="363"/>
      <c r="B102" s="363"/>
      <c r="C102" s="512"/>
      <c r="D102" s="361"/>
      <c r="E102" s="513"/>
      <c r="F102" s="361"/>
      <c r="G102" s="512"/>
      <c r="H102" s="361"/>
      <c r="I102" s="513"/>
      <c r="J102" s="363"/>
    </row>
    <row r="103" spans="1:10" ht="15">
      <c r="A103" s="363"/>
      <c r="B103" s="363"/>
      <c r="C103" s="512"/>
      <c r="D103" s="361"/>
      <c r="E103" s="513"/>
      <c r="F103" s="361"/>
      <c r="G103" s="512"/>
      <c r="H103" s="361"/>
      <c r="I103" s="513"/>
      <c r="J103" s="363"/>
    </row>
    <row r="104" spans="1:10" ht="15">
      <c r="A104" s="363"/>
      <c r="B104" s="363"/>
      <c r="C104" s="512"/>
      <c r="D104" s="361"/>
      <c r="E104" s="513"/>
      <c r="F104" s="361"/>
      <c r="G104" s="512"/>
      <c r="H104" s="361"/>
      <c r="I104" s="513"/>
      <c r="J104" s="363"/>
    </row>
    <row r="105" spans="1:10" ht="15">
      <c r="A105" s="363"/>
      <c r="B105" s="363"/>
      <c r="C105" s="512"/>
      <c r="D105" s="361"/>
      <c r="E105" s="513"/>
      <c r="F105" s="361"/>
      <c r="G105" s="512"/>
      <c r="H105" s="361"/>
      <c r="I105" s="513"/>
      <c r="J105" s="363"/>
    </row>
    <row r="106" spans="1:10" ht="15">
      <c r="A106" s="363"/>
      <c r="B106" s="363"/>
      <c r="C106" s="512"/>
      <c r="D106" s="361"/>
      <c r="E106" s="513"/>
      <c r="F106" s="361"/>
      <c r="G106" s="512"/>
      <c r="H106" s="361"/>
      <c r="I106" s="513"/>
      <c r="J106" s="363"/>
    </row>
    <row r="107" spans="1:10" ht="15">
      <c r="A107" s="363"/>
      <c r="B107" s="363"/>
      <c r="C107" s="512"/>
      <c r="D107" s="361"/>
      <c r="E107" s="513"/>
      <c r="F107" s="361"/>
      <c r="G107" s="512"/>
      <c r="H107" s="361"/>
      <c r="I107" s="513"/>
      <c r="J107" s="363"/>
    </row>
    <row r="108" spans="1:10" ht="15">
      <c r="A108" s="363"/>
      <c r="B108" s="363"/>
      <c r="C108" s="512"/>
      <c r="D108" s="361"/>
      <c r="E108" s="513"/>
      <c r="F108" s="361"/>
      <c r="G108" s="512"/>
      <c r="H108" s="361"/>
      <c r="I108" s="513"/>
      <c r="J108" s="363"/>
    </row>
    <row r="109" spans="1:10" ht="15">
      <c r="A109" s="363"/>
      <c r="B109" s="363"/>
      <c r="C109" s="512"/>
      <c r="D109" s="361"/>
      <c r="E109" s="513"/>
      <c r="F109" s="361"/>
      <c r="G109" s="512"/>
      <c r="H109" s="361"/>
      <c r="I109" s="513"/>
      <c r="J109" s="363"/>
    </row>
    <row r="110" spans="1:10" ht="15">
      <c r="A110" s="363"/>
      <c r="B110" s="363"/>
      <c r="C110" s="512"/>
      <c r="D110" s="361"/>
      <c r="E110" s="513"/>
      <c r="F110" s="361"/>
      <c r="G110" s="512"/>
      <c r="H110" s="361"/>
      <c r="I110" s="513"/>
      <c r="J110" s="363"/>
    </row>
    <row r="111" spans="1:10" ht="15">
      <c r="A111" s="363"/>
      <c r="B111" s="363"/>
      <c r="C111" s="512"/>
      <c r="D111" s="361"/>
      <c r="E111" s="513"/>
      <c r="F111" s="361"/>
      <c r="G111" s="512"/>
      <c r="H111" s="361"/>
      <c r="I111" s="513"/>
      <c r="J111" s="363"/>
    </row>
    <row r="112" spans="1:10" ht="15">
      <c r="A112" s="363"/>
      <c r="B112" s="363"/>
      <c r="C112" s="512"/>
      <c r="D112" s="361"/>
      <c r="E112" s="513"/>
      <c r="F112" s="361"/>
      <c r="G112" s="512"/>
      <c r="H112" s="361"/>
      <c r="I112" s="513"/>
      <c r="J112" s="363"/>
    </row>
    <row r="113" spans="1:10" ht="15">
      <c r="A113" s="363"/>
      <c r="B113" s="363"/>
      <c r="C113" s="512"/>
      <c r="D113" s="361"/>
      <c r="E113" s="513"/>
      <c r="F113" s="361"/>
      <c r="G113" s="512"/>
      <c r="H113" s="361"/>
      <c r="I113" s="513"/>
      <c r="J113" s="363"/>
    </row>
    <row r="114" spans="1:10" ht="15">
      <c r="A114" s="363"/>
      <c r="B114" s="363"/>
      <c r="C114" s="512"/>
      <c r="D114" s="361"/>
      <c r="E114" s="513"/>
      <c r="F114" s="361"/>
      <c r="G114" s="512"/>
      <c r="H114" s="361"/>
      <c r="I114" s="513"/>
      <c r="J114" s="363"/>
    </row>
    <row r="115" spans="1:10" ht="15">
      <c r="A115" s="363"/>
      <c r="B115" s="363"/>
      <c r="C115" s="512"/>
      <c r="D115" s="361"/>
      <c r="E115" s="513"/>
      <c r="F115" s="361"/>
      <c r="G115" s="512"/>
      <c r="H115" s="361"/>
      <c r="I115" s="513"/>
      <c r="J115" s="363"/>
    </row>
    <row r="116" spans="1:10" ht="15">
      <c r="A116" s="363"/>
      <c r="B116" s="363"/>
      <c r="C116" s="512"/>
      <c r="D116" s="361"/>
      <c r="E116" s="513"/>
      <c r="F116" s="361"/>
      <c r="G116" s="512"/>
      <c r="H116" s="361"/>
      <c r="I116" s="513"/>
      <c r="J116" s="363"/>
    </row>
    <row r="117" spans="1:10" ht="15">
      <c r="A117" s="363"/>
      <c r="B117" s="363"/>
      <c r="C117" s="512"/>
      <c r="D117" s="361"/>
      <c r="E117" s="513"/>
      <c r="F117" s="361"/>
      <c r="G117" s="512"/>
      <c r="H117" s="361"/>
      <c r="I117" s="513"/>
      <c r="J117" s="363"/>
    </row>
    <row r="118" spans="1:10" ht="15">
      <c r="A118" s="363"/>
      <c r="B118" s="363"/>
      <c r="C118" s="512"/>
      <c r="D118" s="361"/>
      <c r="E118" s="513"/>
      <c r="F118" s="361"/>
      <c r="G118" s="512"/>
      <c r="H118" s="361"/>
      <c r="I118" s="513"/>
      <c r="J118" s="363"/>
    </row>
    <row r="119" spans="1:10" ht="15">
      <c r="A119" s="363"/>
      <c r="B119" s="363"/>
      <c r="C119" s="512"/>
      <c r="D119" s="361"/>
      <c r="E119" s="513"/>
      <c r="F119" s="361"/>
      <c r="G119" s="512"/>
      <c r="H119" s="361"/>
      <c r="I119" s="513"/>
      <c r="J119" s="363"/>
    </row>
    <row r="120" spans="1:10" ht="15">
      <c r="A120" s="363"/>
      <c r="B120" s="363"/>
      <c r="C120" s="512"/>
      <c r="D120" s="361"/>
      <c r="E120" s="513"/>
      <c r="F120" s="361"/>
      <c r="G120" s="512"/>
      <c r="H120" s="361"/>
      <c r="I120" s="513"/>
      <c r="J120" s="363"/>
    </row>
    <row r="121" spans="1:10" ht="15">
      <c r="A121" s="363"/>
      <c r="B121" s="363"/>
      <c r="C121" s="512"/>
      <c r="D121" s="361"/>
      <c r="E121" s="513"/>
      <c r="F121" s="361"/>
      <c r="G121" s="512"/>
      <c r="H121" s="361"/>
      <c r="I121" s="513"/>
      <c r="J121" s="363"/>
    </row>
    <row r="122" spans="1:10" ht="15">
      <c r="A122" s="363"/>
      <c r="B122" s="363"/>
      <c r="C122" s="512"/>
      <c r="D122" s="361"/>
      <c r="E122" s="513"/>
      <c r="F122" s="361"/>
      <c r="G122" s="512"/>
      <c r="H122" s="361"/>
      <c r="I122" s="513"/>
      <c r="J122" s="363"/>
    </row>
    <row r="123" spans="1:10" ht="15">
      <c r="A123" s="363"/>
      <c r="B123" s="363"/>
      <c r="C123" s="512"/>
      <c r="D123" s="361"/>
      <c r="E123" s="513"/>
      <c r="F123" s="361"/>
      <c r="G123" s="512"/>
      <c r="H123" s="361"/>
      <c r="I123" s="513"/>
      <c r="J123" s="363"/>
    </row>
    <row r="124" spans="1:10" ht="15">
      <c r="A124" s="363"/>
      <c r="B124" s="363"/>
      <c r="C124" s="512"/>
      <c r="D124" s="361"/>
      <c r="E124" s="513"/>
      <c r="F124" s="361"/>
      <c r="G124" s="512"/>
      <c r="H124" s="361"/>
      <c r="I124" s="513"/>
      <c r="J124" s="363"/>
    </row>
    <row r="125" spans="1:10" ht="15">
      <c r="A125" s="363"/>
      <c r="B125" s="363"/>
      <c r="C125" s="512"/>
      <c r="D125" s="361"/>
      <c r="E125" s="513"/>
      <c r="F125" s="361"/>
      <c r="G125" s="512"/>
      <c r="H125" s="361"/>
      <c r="I125" s="513"/>
      <c r="J125" s="363"/>
    </row>
    <row r="126" spans="1:10" ht="15">
      <c r="A126" s="363"/>
      <c r="B126" s="363"/>
      <c r="C126" s="512"/>
      <c r="D126" s="361"/>
      <c r="E126" s="513"/>
      <c r="F126" s="361"/>
      <c r="G126" s="512"/>
      <c r="H126" s="361"/>
      <c r="I126" s="513"/>
      <c r="J126" s="363"/>
    </row>
    <row r="127" spans="1:10" ht="15">
      <c r="A127" s="363"/>
      <c r="B127" s="363"/>
      <c r="C127" s="512"/>
      <c r="D127" s="361"/>
      <c r="E127" s="513"/>
      <c r="F127" s="361"/>
      <c r="G127" s="512"/>
      <c r="H127" s="361"/>
      <c r="I127" s="513"/>
      <c r="J127" s="363"/>
    </row>
    <row r="128" spans="1:10" ht="15">
      <c r="A128" s="363"/>
      <c r="B128" s="363"/>
      <c r="C128" s="512"/>
      <c r="D128" s="361"/>
      <c r="E128" s="513"/>
      <c r="F128" s="361"/>
      <c r="G128" s="512"/>
      <c r="H128" s="361"/>
      <c r="I128" s="513"/>
      <c r="J128" s="363"/>
    </row>
    <row r="129" spans="1:10" ht="15">
      <c r="A129" s="363"/>
      <c r="B129" s="363"/>
      <c r="C129" s="512"/>
      <c r="D129" s="361"/>
      <c r="E129" s="513"/>
      <c r="F129" s="361"/>
      <c r="G129" s="512"/>
      <c r="H129" s="361"/>
      <c r="I129" s="513"/>
      <c r="J129" s="363"/>
    </row>
    <row r="130" spans="1:10" ht="15">
      <c r="A130" s="363"/>
      <c r="B130" s="363"/>
      <c r="C130" s="512"/>
      <c r="D130" s="361"/>
      <c r="E130" s="513"/>
      <c r="F130" s="361"/>
      <c r="G130" s="512"/>
      <c r="H130" s="361"/>
      <c r="I130" s="513"/>
      <c r="J130" s="363"/>
    </row>
    <row r="131" spans="1:10" ht="15">
      <c r="A131" s="363"/>
      <c r="B131" s="363"/>
      <c r="C131" s="512"/>
      <c r="D131" s="361"/>
      <c r="E131" s="513"/>
      <c r="F131" s="361"/>
      <c r="G131" s="512"/>
      <c r="H131" s="361"/>
      <c r="I131" s="513"/>
      <c r="J131" s="363"/>
    </row>
    <row r="132" spans="1:10" ht="15">
      <c r="A132" s="363"/>
      <c r="B132" s="363"/>
      <c r="C132" s="512"/>
      <c r="D132" s="361"/>
      <c r="E132" s="513"/>
      <c r="F132" s="361"/>
      <c r="G132" s="512"/>
      <c r="H132" s="361"/>
      <c r="I132" s="513"/>
      <c r="J132" s="363"/>
    </row>
    <row r="133" spans="1:10" ht="15">
      <c r="A133" s="363"/>
      <c r="B133" s="363"/>
      <c r="C133" s="512"/>
      <c r="D133" s="361"/>
      <c r="E133" s="513"/>
      <c r="F133" s="361"/>
      <c r="G133" s="512"/>
      <c r="H133" s="361"/>
      <c r="I133" s="513"/>
      <c r="J133" s="363"/>
    </row>
    <row r="134" spans="1:10" ht="15">
      <c r="A134" s="363"/>
      <c r="B134" s="363"/>
      <c r="C134" s="512"/>
      <c r="D134" s="361"/>
      <c r="E134" s="513"/>
      <c r="F134" s="361"/>
      <c r="G134" s="512"/>
      <c r="H134" s="361"/>
      <c r="I134" s="513"/>
      <c r="J134" s="363"/>
    </row>
    <row r="135" spans="1:10" ht="15">
      <c r="A135" s="363"/>
      <c r="B135" s="363"/>
      <c r="C135" s="512"/>
      <c r="D135" s="361"/>
      <c r="E135" s="513"/>
      <c r="F135" s="361"/>
      <c r="G135" s="512"/>
      <c r="H135" s="361"/>
      <c r="I135" s="513"/>
      <c r="J135" s="363"/>
    </row>
    <row r="136" spans="1:10" ht="15">
      <c r="A136" s="363"/>
      <c r="B136" s="363"/>
      <c r="C136" s="512"/>
      <c r="D136" s="361"/>
      <c r="E136" s="513"/>
      <c r="F136" s="361"/>
      <c r="G136" s="512"/>
      <c r="H136" s="361"/>
      <c r="I136" s="513"/>
      <c r="J136" s="363"/>
    </row>
    <row r="137" spans="1:10" ht="15">
      <c r="A137" s="363"/>
      <c r="B137" s="363"/>
      <c r="C137" s="512"/>
      <c r="D137" s="361"/>
      <c r="E137" s="513"/>
      <c r="F137" s="361"/>
      <c r="G137" s="512"/>
      <c r="H137" s="361"/>
      <c r="I137" s="513"/>
      <c r="J137" s="363"/>
    </row>
    <row r="138" spans="1:10" ht="15">
      <c r="A138" s="363"/>
      <c r="B138" s="363"/>
      <c r="C138" s="512"/>
      <c r="D138" s="361"/>
      <c r="E138" s="513"/>
      <c r="F138" s="361"/>
      <c r="G138" s="512"/>
      <c r="H138" s="361"/>
      <c r="I138" s="513"/>
      <c r="J138" s="363"/>
    </row>
    <row r="139" spans="1:10" ht="15">
      <c r="A139" s="363"/>
      <c r="B139" s="363"/>
      <c r="C139" s="512"/>
      <c r="D139" s="361"/>
      <c r="E139" s="513"/>
      <c r="F139" s="361"/>
      <c r="G139" s="512"/>
      <c r="H139" s="361"/>
      <c r="I139" s="513"/>
      <c r="J139" s="363"/>
    </row>
    <row r="140" spans="1:10" ht="15">
      <c r="A140" s="363"/>
      <c r="B140" s="363"/>
      <c r="C140" s="512"/>
      <c r="D140" s="361"/>
      <c r="E140" s="513"/>
      <c r="F140" s="361"/>
      <c r="G140" s="512"/>
      <c r="H140" s="361"/>
      <c r="I140" s="513"/>
      <c r="J140" s="363"/>
    </row>
    <row r="141" spans="1:10" ht="15">
      <c r="A141" s="363"/>
      <c r="B141" s="363"/>
      <c r="C141" s="512"/>
      <c r="D141" s="361"/>
      <c r="E141" s="513"/>
      <c r="F141" s="361"/>
      <c r="G141" s="512"/>
      <c r="H141" s="361"/>
      <c r="I141" s="513"/>
      <c r="J141" s="363"/>
    </row>
    <row r="142" spans="1:10" ht="15">
      <c r="A142" s="363"/>
      <c r="B142" s="363"/>
      <c r="C142" s="512"/>
      <c r="D142" s="361"/>
      <c r="E142" s="513"/>
      <c r="F142" s="361"/>
      <c r="G142" s="512"/>
      <c r="H142" s="361"/>
      <c r="I142" s="513"/>
      <c r="J142" s="363"/>
    </row>
    <row r="143" spans="1:10" ht="15">
      <c r="A143" s="363"/>
      <c r="B143" s="363"/>
      <c r="C143" s="512"/>
      <c r="D143" s="361"/>
      <c r="E143" s="513"/>
      <c r="F143" s="361"/>
      <c r="G143" s="512"/>
      <c r="H143" s="361"/>
      <c r="I143" s="513"/>
      <c r="J143" s="363"/>
    </row>
    <row r="144" spans="1:10" ht="15">
      <c r="A144" s="363"/>
      <c r="B144" s="363"/>
      <c r="C144" s="512"/>
      <c r="D144" s="361"/>
      <c r="E144" s="513"/>
      <c r="F144" s="361"/>
      <c r="G144" s="512"/>
      <c r="H144" s="361"/>
      <c r="I144" s="513"/>
      <c r="J144" s="363"/>
    </row>
    <row r="145" spans="1:10" ht="15">
      <c r="A145" s="363"/>
      <c r="B145" s="363"/>
      <c r="C145" s="512"/>
      <c r="D145" s="361"/>
      <c r="E145" s="513"/>
      <c r="F145" s="361"/>
      <c r="G145" s="512"/>
      <c r="H145" s="361"/>
      <c r="I145" s="513"/>
      <c r="J145" s="363"/>
    </row>
    <row r="146" spans="1:10" ht="15">
      <c r="A146" s="363"/>
      <c r="B146" s="363"/>
      <c r="C146" s="512"/>
      <c r="D146" s="361"/>
      <c r="E146" s="513"/>
      <c r="F146" s="361"/>
      <c r="G146" s="512"/>
      <c r="H146" s="361"/>
      <c r="I146" s="513"/>
      <c r="J146" s="363"/>
    </row>
    <row r="147" spans="1:10" ht="15">
      <c r="A147" s="363"/>
      <c r="B147" s="363"/>
      <c r="C147" s="512"/>
      <c r="D147" s="361"/>
      <c r="E147" s="513"/>
      <c r="F147" s="361"/>
      <c r="G147" s="512"/>
      <c r="H147" s="361"/>
      <c r="I147" s="513"/>
      <c r="J147" s="363"/>
    </row>
    <row r="148" spans="1:10" ht="15">
      <c r="A148" s="363"/>
      <c r="B148" s="363"/>
      <c r="C148" s="512"/>
      <c r="D148" s="361"/>
      <c r="E148" s="513"/>
      <c r="F148" s="361"/>
      <c r="G148" s="512"/>
      <c r="H148" s="361"/>
      <c r="I148" s="513"/>
      <c r="J148" s="363"/>
    </row>
    <row r="149" spans="1:10" ht="15">
      <c r="A149" s="363"/>
      <c r="B149" s="363"/>
      <c r="C149" s="512"/>
      <c r="D149" s="361"/>
      <c r="E149" s="513"/>
      <c r="F149" s="361"/>
      <c r="G149" s="512"/>
      <c r="H149" s="361"/>
      <c r="I149" s="513"/>
      <c r="J149" s="363"/>
    </row>
    <row r="150" spans="1:10" ht="15">
      <c r="A150" s="363"/>
      <c r="B150" s="363"/>
      <c r="C150" s="512"/>
      <c r="D150" s="361"/>
      <c r="E150" s="513"/>
      <c r="F150" s="361"/>
      <c r="G150" s="512"/>
      <c r="H150" s="361"/>
      <c r="I150" s="513"/>
      <c r="J150" s="363"/>
    </row>
    <row r="151" spans="1:10" ht="15">
      <c r="A151" s="363"/>
      <c r="B151" s="363"/>
      <c r="C151" s="512"/>
      <c r="D151" s="361"/>
      <c r="E151" s="513"/>
      <c r="F151" s="361"/>
      <c r="G151" s="512"/>
      <c r="H151" s="361"/>
      <c r="I151" s="513"/>
      <c r="J151" s="363"/>
    </row>
    <row r="152" spans="1:10" ht="15">
      <c r="A152" s="363"/>
      <c r="B152" s="363"/>
      <c r="C152" s="512"/>
      <c r="D152" s="361"/>
      <c r="E152" s="513"/>
      <c r="F152" s="361"/>
      <c r="G152" s="512"/>
      <c r="H152" s="361"/>
      <c r="I152" s="513"/>
      <c r="J152" s="363"/>
    </row>
    <row r="153" spans="1:10" ht="15">
      <c r="A153" s="363"/>
      <c r="B153" s="363"/>
      <c r="C153" s="512"/>
      <c r="D153" s="361"/>
      <c r="E153" s="513"/>
      <c r="F153" s="361"/>
      <c r="G153" s="512"/>
      <c r="H153" s="361"/>
      <c r="I153" s="513"/>
      <c r="J153" s="363"/>
    </row>
    <row r="154" spans="1:10" ht="15">
      <c r="A154" s="363"/>
      <c r="B154" s="363"/>
      <c r="C154" s="512"/>
      <c r="D154" s="361"/>
      <c r="E154" s="513"/>
      <c r="F154" s="361"/>
      <c r="G154" s="512"/>
      <c r="H154" s="361"/>
      <c r="I154" s="513"/>
      <c r="J154" s="363"/>
    </row>
    <row r="155" spans="1:10" ht="15">
      <c r="A155" s="363"/>
      <c r="B155" s="363"/>
      <c r="C155" s="512"/>
      <c r="D155" s="361"/>
      <c r="E155" s="513"/>
      <c r="F155" s="361"/>
      <c r="G155" s="512"/>
      <c r="H155" s="361"/>
      <c r="I155" s="513"/>
      <c r="J155" s="363"/>
    </row>
    <row r="156" spans="1:10" ht="15">
      <c r="A156" s="363"/>
      <c r="B156" s="363"/>
      <c r="C156" s="512"/>
      <c r="D156" s="361"/>
      <c r="E156" s="513"/>
      <c r="F156" s="361"/>
      <c r="G156" s="512"/>
      <c r="H156" s="361"/>
      <c r="I156" s="513"/>
      <c r="J156" s="363"/>
    </row>
    <row r="157" spans="1:10" ht="15">
      <c r="A157" s="363"/>
      <c r="B157" s="363"/>
      <c r="C157" s="512"/>
      <c r="D157" s="361"/>
      <c r="E157" s="513"/>
      <c r="F157" s="361"/>
      <c r="G157" s="512"/>
      <c r="H157" s="361"/>
      <c r="I157" s="513"/>
      <c r="J157" s="363"/>
    </row>
    <row r="158" spans="1:10" ht="15">
      <c r="A158" s="363"/>
      <c r="B158" s="363"/>
      <c r="C158" s="512"/>
      <c r="D158" s="361"/>
      <c r="E158" s="513"/>
      <c r="F158" s="361"/>
      <c r="G158" s="512"/>
      <c r="H158" s="361"/>
      <c r="I158" s="513"/>
      <c r="J158" s="363"/>
    </row>
    <row r="159" spans="1:10" ht="15">
      <c r="A159" s="363"/>
      <c r="B159" s="363"/>
      <c r="C159" s="512"/>
      <c r="D159" s="361"/>
      <c r="E159" s="513"/>
      <c r="F159" s="361"/>
      <c r="G159" s="512"/>
      <c r="H159" s="361"/>
      <c r="I159" s="513"/>
      <c r="J159" s="363"/>
    </row>
    <row r="160" spans="1:10" ht="15">
      <c r="A160" s="363"/>
      <c r="B160" s="363"/>
      <c r="C160" s="512"/>
      <c r="D160" s="361"/>
      <c r="E160" s="513"/>
      <c r="F160" s="361"/>
      <c r="G160" s="512"/>
      <c r="H160" s="361"/>
      <c r="I160" s="513"/>
      <c r="J160" s="363"/>
    </row>
    <row r="161" spans="1:10" ht="15">
      <c r="A161" s="363"/>
      <c r="B161" s="363"/>
      <c r="C161" s="512"/>
      <c r="D161" s="361"/>
      <c r="E161" s="513"/>
      <c r="F161" s="361"/>
      <c r="G161" s="512"/>
      <c r="H161" s="361"/>
      <c r="I161" s="513"/>
      <c r="J161" s="363"/>
    </row>
    <row r="162" spans="1:10" ht="15">
      <c r="A162" s="363"/>
      <c r="B162" s="363"/>
      <c r="C162" s="512"/>
      <c r="D162" s="361"/>
      <c r="E162" s="513"/>
      <c r="F162" s="361"/>
      <c r="G162" s="512"/>
      <c r="H162" s="361"/>
      <c r="I162" s="513"/>
      <c r="J162" s="363"/>
    </row>
    <row r="163" spans="1:10" ht="15">
      <c r="A163" s="363"/>
      <c r="B163" s="363"/>
      <c r="C163" s="512"/>
      <c r="D163" s="361"/>
      <c r="E163" s="513"/>
      <c r="F163" s="361"/>
      <c r="G163" s="512"/>
      <c r="H163" s="361"/>
      <c r="I163" s="513"/>
      <c r="J163" s="363"/>
    </row>
    <row r="164" spans="1:10" ht="15">
      <c r="A164" s="363"/>
      <c r="B164" s="363"/>
      <c r="C164" s="512"/>
      <c r="D164" s="361"/>
      <c r="E164" s="513"/>
      <c r="F164" s="361"/>
      <c r="G164" s="512"/>
      <c r="H164" s="361"/>
      <c r="I164" s="513"/>
      <c r="J164" s="363"/>
    </row>
    <row r="165" spans="1:10" ht="15">
      <c r="A165" s="363"/>
      <c r="B165" s="363"/>
      <c r="C165" s="512"/>
      <c r="D165" s="361"/>
      <c r="E165" s="513"/>
      <c r="F165" s="361"/>
      <c r="G165" s="512"/>
      <c r="H165" s="361"/>
      <c r="I165" s="513"/>
      <c r="J165" s="363"/>
    </row>
    <row r="166" spans="1:10" ht="15">
      <c r="A166" s="363"/>
      <c r="B166" s="363"/>
      <c r="C166" s="512"/>
      <c r="D166" s="361"/>
      <c r="E166" s="513"/>
      <c r="F166" s="361"/>
      <c r="G166" s="512"/>
      <c r="H166" s="361"/>
      <c r="I166" s="513"/>
      <c r="J166" s="363"/>
    </row>
    <row r="167" spans="1:10" ht="15">
      <c r="A167" s="363"/>
      <c r="B167" s="363"/>
      <c r="C167" s="512"/>
      <c r="D167" s="361"/>
      <c r="E167" s="513"/>
      <c r="F167" s="361"/>
      <c r="G167" s="512"/>
      <c r="H167" s="361"/>
      <c r="I167" s="513"/>
      <c r="J167" s="363"/>
    </row>
    <row r="168" spans="1:10" ht="15">
      <c r="A168" s="363"/>
      <c r="B168" s="363"/>
      <c r="C168" s="512"/>
      <c r="D168" s="361"/>
      <c r="E168" s="513"/>
      <c r="F168" s="361"/>
      <c r="G168" s="512"/>
      <c r="H168" s="361"/>
      <c r="I168" s="513"/>
      <c r="J168" s="363"/>
    </row>
    <row r="169" spans="1:10" ht="15">
      <c r="A169" s="363"/>
      <c r="B169" s="363"/>
      <c r="C169" s="512"/>
      <c r="D169" s="361"/>
      <c r="E169" s="513"/>
      <c r="F169" s="361"/>
      <c r="G169" s="512"/>
      <c r="H169" s="361"/>
      <c r="I169" s="513"/>
      <c r="J169" s="363"/>
    </row>
    <row r="170" spans="1:10" ht="15">
      <c r="A170" s="363"/>
      <c r="B170" s="363"/>
      <c r="C170" s="512"/>
      <c r="D170" s="361"/>
      <c r="E170" s="513"/>
      <c r="F170" s="361"/>
      <c r="G170" s="512"/>
      <c r="H170" s="361"/>
      <c r="I170" s="513"/>
      <c r="J170" s="363"/>
    </row>
    <row r="171" spans="1:10" ht="15">
      <c r="A171" s="363"/>
      <c r="B171" s="363"/>
      <c r="C171" s="512"/>
      <c r="D171" s="361"/>
      <c r="E171" s="513"/>
      <c r="F171" s="361"/>
      <c r="G171" s="512"/>
      <c r="H171" s="361"/>
      <c r="I171" s="513"/>
      <c r="J171" s="363"/>
    </row>
    <row r="172" spans="1:10" ht="15">
      <c r="A172" s="363"/>
      <c r="B172" s="363"/>
      <c r="C172" s="512"/>
      <c r="D172" s="361"/>
      <c r="E172" s="513"/>
      <c r="F172" s="361"/>
      <c r="G172" s="512"/>
      <c r="H172" s="361"/>
      <c r="I172" s="513"/>
      <c r="J172" s="363"/>
    </row>
    <row r="173" spans="1:10" ht="15">
      <c r="A173" s="363"/>
      <c r="B173" s="363"/>
      <c r="C173" s="512"/>
      <c r="D173" s="361"/>
      <c r="E173" s="513"/>
      <c r="F173" s="361"/>
      <c r="G173" s="512"/>
      <c r="H173" s="361"/>
      <c r="I173" s="513"/>
      <c r="J173" s="363"/>
    </row>
    <row r="174" spans="1:10" ht="15">
      <c r="A174" s="363"/>
      <c r="B174" s="363"/>
      <c r="C174" s="512"/>
      <c r="D174" s="361"/>
      <c r="E174" s="513"/>
      <c r="F174" s="361"/>
      <c r="G174" s="512"/>
      <c r="H174" s="361"/>
      <c r="I174" s="513"/>
      <c r="J174" s="363"/>
    </row>
    <row r="175" spans="1:10" ht="15">
      <c r="A175" s="363"/>
      <c r="B175" s="363"/>
      <c r="C175" s="512"/>
      <c r="D175" s="361"/>
      <c r="E175" s="513"/>
      <c r="F175" s="361"/>
      <c r="G175" s="512"/>
      <c r="H175" s="361"/>
      <c r="I175" s="513"/>
      <c r="J175" s="363"/>
    </row>
    <row r="176" spans="1:10" ht="15">
      <c r="A176" s="363"/>
      <c r="B176" s="363"/>
      <c r="C176" s="512"/>
      <c r="D176" s="361"/>
      <c r="E176" s="513"/>
      <c r="F176" s="361"/>
      <c r="G176" s="512"/>
      <c r="H176" s="361"/>
      <c r="I176" s="513"/>
      <c r="J176" s="363"/>
    </row>
    <row r="177" spans="1:10" ht="15">
      <c r="A177" s="363"/>
      <c r="B177" s="363"/>
      <c r="C177" s="512"/>
      <c r="D177" s="361"/>
      <c r="E177" s="513"/>
      <c r="F177" s="361"/>
      <c r="G177" s="512"/>
      <c r="H177" s="361"/>
      <c r="I177" s="513"/>
      <c r="J177" s="363"/>
    </row>
    <row r="178" spans="1:10" ht="15">
      <c r="A178" s="363"/>
      <c r="B178" s="363"/>
      <c r="C178" s="512"/>
      <c r="D178" s="361"/>
      <c r="E178" s="513"/>
      <c r="F178" s="361"/>
      <c r="G178" s="512"/>
      <c r="H178" s="361"/>
      <c r="I178" s="513"/>
      <c r="J178" s="363"/>
    </row>
    <row r="179" spans="1:10" ht="15">
      <c r="A179" s="363"/>
      <c r="B179" s="363"/>
      <c r="C179" s="512"/>
      <c r="D179" s="361"/>
      <c r="E179" s="513"/>
      <c r="F179" s="361"/>
      <c r="G179" s="512"/>
      <c r="H179" s="361"/>
      <c r="I179" s="513"/>
      <c r="J179" s="363"/>
    </row>
    <row r="180" spans="1:10" ht="15">
      <c r="A180" s="363"/>
      <c r="B180" s="363"/>
      <c r="C180" s="512"/>
      <c r="D180" s="361"/>
      <c r="E180" s="513"/>
      <c r="F180" s="361"/>
      <c r="G180" s="512"/>
      <c r="H180" s="361"/>
      <c r="I180" s="513"/>
      <c r="J180" s="363"/>
    </row>
    <row r="181" spans="1:10" ht="15">
      <c r="A181" s="363"/>
      <c r="B181" s="363"/>
      <c r="C181" s="512"/>
      <c r="D181" s="361"/>
      <c r="E181" s="513"/>
      <c r="F181" s="361"/>
      <c r="G181" s="512"/>
      <c r="H181" s="361"/>
      <c r="I181" s="513"/>
      <c r="J181" s="363"/>
    </row>
    <row r="182" spans="1:10" ht="15">
      <c r="A182" s="363"/>
      <c r="B182" s="363"/>
      <c r="C182" s="512"/>
      <c r="D182" s="361"/>
      <c r="E182" s="513"/>
      <c r="F182" s="361"/>
      <c r="G182" s="512"/>
      <c r="H182" s="361"/>
      <c r="I182" s="513"/>
      <c r="J182" s="363"/>
    </row>
    <row r="183" spans="1:10" ht="15">
      <c r="A183" s="363"/>
      <c r="B183" s="363"/>
      <c r="C183" s="512"/>
      <c r="D183" s="361"/>
      <c r="E183" s="513"/>
      <c r="F183" s="361"/>
      <c r="G183" s="512"/>
      <c r="H183" s="361"/>
      <c r="I183" s="513"/>
      <c r="J183" s="363"/>
    </row>
    <row r="184" spans="1:10" ht="15">
      <c r="A184" s="363"/>
      <c r="B184" s="363"/>
      <c r="C184" s="512"/>
      <c r="D184" s="361"/>
      <c r="E184" s="513"/>
      <c r="F184" s="361"/>
      <c r="G184" s="512"/>
      <c r="H184" s="361"/>
      <c r="I184" s="513"/>
      <c r="J184" s="363"/>
    </row>
    <row r="185" spans="1:10" ht="15">
      <c r="A185" s="363"/>
      <c r="B185" s="363"/>
      <c r="C185" s="512"/>
      <c r="D185" s="361"/>
      <c r="E185" s="513"/>
      <c r="F185" s="361"/>
      <c r="G185" s="512"/>
      <c r="H185" s="361"/>
      <c r="I185" s="513"/>
      <c r="J185" s="363"/>
    </row>
    <row r="186" spans="1:10" ht="15">
      <c r="A186" s="363"/>
      <c r="B186" s="363"/>
      <c r="C186" s="512"/>
      <c r="D186" s="361"/>
      <c r="E186" s="513"/>
      <c r="F186" s="361"/>
      <c r="G186" s="512"/>
      <c r="H186" s="361"/>
      <c r="I186" s="513"/>
      <c r="J186" s="363"/>
    </row>
    <row r="187" spans="1:10" ht="15">
      <c r="A187" s="363"/>
      <c r="B187" s="363"/>
      <c r="C187" s="512"/>
      <c r="D187" s="361"/>
      <c r="E187" s="513"/>
      <c r="F187" s="361"/>
      <c r="G187" s="512"/>
      <c r="H187" s="361"/>
      <c r="I187" s="513"/>
      <c r="J187" s="363"/>
    </row>
    <row r="188" spans="1:10" ht="15">
      <c r="A188" s="363"/>
      <c r="B188" s="363"/>
      <c r="C188" s="512"/>
      <c r="D188" s="361"/>
      <c r="E188" s="513"/>
      <c r="F188" s="361"/>
      <c r="G188" s="512"/>
      <c r="H188" s="361"/>
      <c r="I188" s="513"/>
      <c r="J188" s="363"/>
    </row>
    <row r="189" spans="1:10" ht="15">
      <c r="A189" s="363"/>
      <c r="B189" s="363"/>
      <c r="C189" s="512"/>
      <c r="D189" s="361"/>
      <c r="E189" s="513"/>
      <c r="F189" s="361"/>
      <c r="G189" s="512"/>
      <c r="H189" s="361"/>
      <c r="I189" s="513"/>
      <c r="J189" s="363"/>
    </row>
    <row r="190" spans="1:10" ht="15">
      <c r="A190" s="363"/>
      <c r="B190" s="363"/>
      <c r="C190" s="512"/>
      <c r="D190" s="361"/>
      <c r="E190" s="513"/>
      <c r="F190" s="361"/>
      <c r="G190" s="512"/>
      <c r="H190" s="361"/>
      <c r="I190" s="513"/>
      <c r="J190" s="363"/>
    </row>
    <row r="191" spans="1:10" ht="15">
      <c r="A191" s="363"/>
      <c r="B191" s="363"/>
      <c r="C191" s="512"/>
      <c r="D191" s="361"/>
      <c r="E191" s="513"/>
      <c r="F191" s="361"/>
      <c r="G191" s="512"/>
      <c r="H191" s="361"/>
      <c r="I191" s="513"/>
      <c r="J191" s="363"/>
    </row>
    <row r="192" spans="1:10" ht="15">
      <c r="A192" s="363"/>
      <c r="B192" s="363"/>
      <c r="C192" s="512"/>
      <c r="D192" s="361"/>
      <c r="E192" s="513"/>
      <c r="F192" s="361"/>
      <c r="G192" s="512"/>
      <c r="H192" s="361"/>
      <c r="I192" s="513"/>
      <c r="J192" s="363"/>
    </row>
    <row r="193" spans="1:10" ht="15">
      <c r="A193" s="363"/>
      <c r="B193" s="363"/>
      <c r="C193" s="512"/>
      <c r="D193" s="361"/>
      <c r="E193" s="513"/>
      <c r="F193" s="361"/>
      <c r="G193" s="512"/>
      <c r="H193" s="361"/>
      <c r="I193" s="513"/>
      <c r="J193" s="363"/>
    </row>
    <row r="194" spans="1:10" ht="15">
      <c r="A194" s="363"/>
      <c r="B194" s="363"/>
      <c r="C194" s="512"/>
      <c r="D194" s="361"/>
      <c r="E194" s="513"/>
      <c r="F194" s="361"/>
      <c r="G194" s="512"/>
      <c r="H194" s="361"/>
      <c r="I194" s="513"/>
      <c r="J194" s="363"/>
    </row>
    <row r="195" spans="1:10" ht="15">
      <c r="A195" s="363"/>
      <c r="B195" s="363"/>
      <c r="C195" s="512"/>
      <c r="D195" s="361"/>
      <c r="E195" s="513"/>
      <c r="F195" s="361"/>
      <c r="G195" s="512"/>
      <c r="H195" s="361"/>
      <c r="I195" s="513"/>
      <c r="J195" s="363"/>
    </row>
    <row r="196" spans="1:10" ht="15">
      <c r="A196" s="363"/>
      <c r="B196" s="363"/>
      <c r="C196" s="512"/>
      <c r="D196" s="361"/>
      <c r="E196" s="513"/>
      <c r="F196" s="361"/>
      <c r="G196" s="512"/>
      <c r="H196" s="361"/>
      <c r="I196" s="513"/>
      <c r="J196" s="363"/>
    </row>
    <row r="197" spans="1:10" ht="15">
      <c r="A197" s="363"/>
      <c r="B197" s="363"/>
      <c r="C197" s="512"/>
      <c r="D197" s="361"/>
      <c r="E197" s="513"/>
      <c r="F197" s="361"/>
      <c r="G197" s="512"/>
      <c r="H197" s="361"/>
      <c r="I197" s="513"/>
      <c r="J197" s="363"/>
    </row>
    <row r="198" spans="1:10" ht="15">
      <c r="A198" s="363"/>
      <c r="B198" s="363"/>
      <c r="C198" s="512"/>
      <c r="D198" s="361"/>
      <c r="E198" s="513"/>
      <c r="F198" s="361"/>
      <c r="G198" s="512"/>
      <c r="H198" s="361"/>
      <c r="I198" s="513"/>
      <c r="J198" s="363"/>
    </row>
    <row r="199" spans="1:10" ht="15">
      <c r="A199" s="363"/>
      <c r="B199" s="363"/>
      <c r="C199" s="512"/>
      <c r="D199" s="361"/>
      <c r="E199" s="513"/>
      <c r="F199" s="361"/>
      <c r="G199" s="512"/>
      <c r="H199" s="361"/>
      <c r="I199" s="513"/>
      <c r="J199" s="363"/>
    </row>
    <row r="200" spans="1:10" ht="15">
      <c r="A200" s="363"/>
      <c r="B200" s="363"/>
      <c r="C200" s="512"/>
      <c r="D200" s="361"/>
      <c r="E200" s="513"/>
      <c r="F200" s="361"/>
      <c r="G200" s="512"/>
      <c r="H200" s="361"/>
      <c r="I200" s="513"/>
      <c r="J200" s="363"/>
    </row>
    <row r="201" spans="1:10" ht="15">
      <c r="A201" s="363"/>
      <c r="B201" s="363"/>
      <c r="C201" s="512"/>
      <c r="D201" s="361"/>
      <c r="E201" s="513"/>
      <c r="F201" s="361"/>
      <c r="G201" s="512"/>
      <c r="H201" s="361"/>
      <c r="I201" s="513"/>
      <c r="J201" s="363"/>
    </row>
    <row r="202" spans="1:10" ht="15">
      <c r="A202" s="363"/>
      <c r="B202" s="363"/>
      <c r="C202" s="512"/>
      <c r="D202" s="361"/>
      <c r="E202" s="513"/>
      <c r="F202" s="361"/>
      <c r="G202" s="512"/>
      <c r="H202" s="361"/>
      <c r="I202" s="513"/>
      <c r="J202" s="363"/>
    </row>
    <row r="203" spans="1:10" ht="15">
      <c r="A203" s="363"/>
      <c r="B203" s="363"/>
      <c r="C203" s="512"/>
      <c r="D203" s="361"/>
      <c r="E203" s="513"/>
      <c r="F203" s="361"/>
      <c r="G203" s="512"/>
      <c r="H203" s="361"/>
      <c r="I203" s="513"/>
      <c r="J203" s="363"/>
    </row>
    <row r="204" spans="1:10" ht="15">
      <c r="A204" s="363"/>
      <c r="B204" s="363"/>
      <c r="C204" s="512"/>
      <c r="D204" s="361"/>
      <c r="E204" s="513"/>
      <c r="F204" s="361"/>
      <c r="G204" s="512"/>
      <c r="H204" s="361"/>
      <c r="I204" s="513"/>
      <c r="J204" s="363"/>
    </row>
    <row r="205" spans="1:10" ht="15">
      <c r="A205" s="363"/>
      <c r="B205" s="363"/>
      <c r="C205" s="512"/>
      <c r="D205" s="361"/>
      <c r="E205" s="513"/>
      <c r="F205" s="361"/>
      <c r="G205" s="512"/>
      <c r="H205" s="361"/>
      <c r="I205" s="513"/>
      <c r="J205" s="363"/>
    </row>
    <row r="206" spans="1:10" ht="15">
      <c r="A206" s="363"/>
      <c r="B206" s="363"/>
      <c r="C206" s="512"/>
      <c r="D206" s="361"/>
      <c r="E206" s="513"/>
      <c r="F206" s="361"/>
      <c r="G206" s="512"/>
      <c r="H206" s="361"/>
      <c r="I206" s="513"/>
      <c r="J206" s="363"/>
    </row>
    <row r="207" spans="1:10" ht="15">
      <c r="A207" s="363"/>
      <c r="B207" s="363"/>
      <c r="C207" s="512"/>
      <c r="D207" s="361"/>
      <c r="E207" s="513"/>
      <c r="F207" s="361"/>
      <c r="G207" s="512"/>
      <c r="H207" s="361"/>
      <c r="I207" s="513"/>
      <c r="J207" s="363"/>
    </row>
    <row r="208" spans="1:10" ht="15">
      <c r="A208" s="363"/>
      <c r="B208" s="363"/>
      <c r="C208" s="512"/>
      <c r="D208" s="361"/>
      <c r="E208" s="513"/>
      <c r="F208" s="361"/>
      <c r="G208" s="512"/>
      <c r="H208" s="361"/>
      <c r="I208" s="513"/>
      <c r="J208" s="363"/>
    </row>
    <row r="209" spans="1:10" ht="15">
      <c r="A209" s="363"/>
      <c r="B209" s="363"/>
      <c r="C209" s="512"/>
      <c r="D209" s="361"/>
      <c r="E209" s="513"/>
      <c r="F209" s="361"/>
      <c r="G209" s="512"/>
      <c r="H209" s="361"/>
      <c r="I209" s="513"/>
      <c r="J209" s="363"/>
    </row>
    <row r="210" spans="1:10" ht="15">
      <c r="A210" s="363"/>
      <c r="B210" s="363"/>
      <c r="C210" s="512"/>
      <c r="D210" s="361"/>
      <c r="E210" s="513"/>
      <c r="F210" s="361"/>
      <c r="G210" s="512"/>
      <c r="H210" s="361"/>
      <c r="I210" s="513"/>
      <c r="J210" s="363"/>
    </row>
    <row r="211" spans="1:10" ht="15">
      <c r="A211" s="363"/>
      <c r="B211" s="363"/>
      <c r="C211" s="512"/>
      <c r="D211" s="361"/>
      <c r="E211" s="513"/>
      <c r="F211" s="361"/>
      <c r="G211" s="512"/>
      <c r="H211" s="361"/>
      <c r="I211" s="513"/>
      <c r="J211" s="363"/>
    </row>
    <row r="212" spans="1:10" ht="15">
      <c r="A212" s="363"/>
      <c r="B212" s="363"/>
      <c r="C212" s="512"/>
      <c r="D212" s="361"/>
      <c r="E212" s="513"/>
      <c r="F212" s="361"/>
      <c r="G212" s="512"/>
      <c r="H212" s="361"/>
      <c r="I212" s="513"/>
      <c r="J212" s="363"/>
    </row>
    <row r="213" spans="1:10" ht="15">
      <c r="A213" s="363"/>
      <c r="B213" s="363"/>
      <c r="C213" s="512"/>
      <c r="D213" s="361"/>
      <c r="E213" s="513"/>
      <c r="F213" s="361"/>
      <c r="G213" s="512"/>
      <c r="H213" s="361"/>
      <c r="I213" s="513"/>
      <c r="J213" s="363"/>
    </row>
    <row r="214" spans="1:10" ht="15">
      <c r="A214" s="363"/>
      <c r="B214" s="363"/>
      <c r="C214" s="512"/>
      <c r="D214" s="361"/>
      <c r="E214" s="513"/>
      <c r="F214" s="361"/>
      <c r="G214" s="512"/>
      <c r="H214" s="361"/>
      <c r="I214" s="513"/>
      <c r="J214" s="363"/>
    </row>
    <row r="215" spans="1:10" ht="15">
      <c r="A215" s="363"/>
      <c r="B215" s="363"/>
      <c r="C215" s="512"/>
      <c r="D215" s="361"/>
      <c r="E215" s="513"/>
      <c r="F215" s="361"/>
      <c r="G215" s="512"/>
      <c r="H215" s="361"/>
      <c r="I215" s="513"/>
      <c r="J215" s="363"/>
    </row>
    <row r="216" spans="1:10" ht="15">
      <c r="A216" s="363"/>
      <c r="B216" s="363"/>
      <c r="C216" s="512"/>
      <c r="D216" s="361"/>
      <c r="E216" s="513"/>
      <c r="F216" s="361"/>
      <c r="G216" s="512"/>
      <c r="H216" s="361"/>
      <c r="I216" s="513"/>
      <c r="J216" s="363"/>
    </row>
    <row r="217" spans="1:10" ht="15">
      <c r="A217" s="363"/>
      <c r="B217" s="363"/>
      <c r="C217" s="512"/>
      <c r="D217" s="361"/>
      <c r="E217" s="513"/>
      <c r="F217" s="361"/>
      <c r="G217" s="512"/>
      <c r="H217" s="361"/>
      <c r="I217" s="513"/>
      <c r="J217" s="363"/>
    </row>
    <row r="218" spans="1:10" ht="15">
      <c r="A218" s="363"/>
      <c r="B218" s="363"/>
      <c r="C218" s="512"/>
      <c r="D218" s="361"/>
      <c r="E218" s="513"/>
      <c r="F218" s="361"/>
      <c r="G218" s="512"/>
      <c r="H218" s="361"/>
      <c r="I218" s="513"/>
      <c r="J218" s="363"/>
    </row>
    <row r="219" spans="1:10" ht="15">
      <c r="A219" s="363"/>
      <c r="B219" s="363"/>
      <c r="C219" s="512"/>
      <c r="D219" s="361"/>
      <c r="E219" s="513"/>
      <c r="F219" s="361"/>
      <c r="G219" s="512"/>
      <c r="H219" s="361"/>
      <c r="I219" s="513"/>
      <c r="J219" s="363"/>
    </row>
    <row r="220" spans="1:10" ht="15">
      <c r="A220" s="363"/>
      <c r="B220" s="363"/>
      <c r="C220" s="512"/>
      <c r="D220" s="361"/>
      <c r="E220" s="513"/>
      <c r="F220" s="361"/>
      <c r="G220" s="512"/>
      <c r="H220" s="361"/>
      <c r="I220" s="513"/>
      <c r="J220" s="363"/>
    </row>
    <row r="221" spans="1:10" ht="15">
      <c r="A221" s="363"/>
      <c r="B221" s="363"/>
      <c r="C221" s="512"/>
      <c r="D221" s="361"/>
      <c r="E221" s="513"/>
      <c r="F221" s="361"/>
      <c r="G221" s="512"/>
      <c r="H221" s="361"/>
      <c r="I221" s="513"/>
      <c r="J221" s="363"/>
    </row>
    <row r="222" spans="1:10" ht="15">
      <c r="A222" s="363"/>
      <c r="B222" s="363"/>
      <c r="C222" s="512"/>
      <c r="D222" s="361"/>
      <c r="E222" s="513"/>
      <c r="F222" s="361"/>
      <c r="G222" s="512"/>
      <c r="H222" s="361"/>
      <c r="I222" s="513"/>
      <c r="J222" s="363"/>
    </row>
    <row r="223" spans="1:10" ht="15">
      <c r="A223" s="363"/>
      <c r="B223" s="363"/>
      <c r="C223" s="512"/>
      <c r="D223" s="361"/>
      <c r="E223" s="513"/>
      <c r="F223" s="361"/>
      <c r="G223" s="512"/>
      <c r="H223" s="361"/>
      <c r="I223" s="513"/>
      <c r="J223" s="363"/>
    </row>
    <row r="224" spans="1:10" ht="15">
      <c r="A224" s="363"/>
      <c r="B224" s="363"/>
      <c r="C224" s="512"/>
      <c r="D224" s="361"/>
      <c r="E224" s="513"/>
      <c r="F224" s="361"/>
      <c r="G224" s="512"/>
      <c r="H224" s="361"/>
      <c r="I224" s="513"/>
      <c r="J224" s="363"/>
    </row>
    <row r="225" spans="1:10" ht="15">
      <c r="A225" s="363"/>
      <c r="B225" s="363"/>
      <c r="C225" s="512"/>
      <c r="D225" s="361"/>
      <c r="E225" s="513"/>
      <c r="F225" s="361"/>
      <c r="G225" s="512"/>
      <c r="H225" s="361"/>
      <c r="I225" s="513"/>
      <c r="J225" s="363"/>
    </row>
    <row r="226" spans="1:10" ht="15">
      <c r="A226" s="363"/>
      <c r="B226" s="363"/>
      <c r="C226" s="512"/>
      <c r="D226" s="361"/>
      <c r="E226" s="513"/>
      <c r="F226" s="361"/>
      <c r="G226" s="512"/>
      <c r="H226" s="361"/>
      <c r="I226" s="513"/>
      <c r="J226" s="363"/>
    </row>
    <row r="227" spans="1:10" ht="15">
      <c r="A227" s="363"/>
      <c r="B227" s="363"/>
      <c r="C227" s="512"/>
      <c r="D227" s="361"/>
      <c r="E227" s="513"/>
      <c r="F227" s="361"/>
      <c r="G227" s="512"/>
      <c r="H227" s="361"/>
      <c r="I227" s="513"/>
      <c r="J227" s="363"/>
    </row>
    <row r="228" spans="1:10" ht="15">
      <c r="A228" s="363"/>
      <c r="B228" s="363"/>
      <c r="C228" s="512"/>
      <c r="D228" s="361"/>
      <c r="E228" s="513"/>
      <c r="F228" s="361"/>
      <c r="G228" s="512"/>
      <c r="H228" s="361"/>
      <c r="I228" s="513"/>
      <c r="J228" s="363"/>
    </row>
    <row r="229" spans="1:10" ht="15">
      <c r="A229" s="363"/>
      <c r="B229" s="363"/>
      <c r="C229" s="512"/>
      <c r="D229" s="361"/>
      <c r="E229" s="513"/>
      <c r="F229" s="361"/>
      <c r="G229" s="512"/>
      <c r="H229" s="361"/>
      <c r="I229" s="513"/>
      <c r="J229" s="363"/>
    </row>
    <row r="230" spans="1:10" ht="15">
      <c r="A230" s="363"/>
      <c r="B230" s="363"/>
      <c r="C230" s="512"/>
      <c r="D230" s="361"/>
      <c r="E230" s="513"/>
      <c r="F230" s="361"/>
      <c r="G230" s="512"/>
      <c r="H230" s="361"/>
      <c r="I230" s="513"/>
      <c r="J230" s="363"/>
    </row>
    <row r="231" spans="1:10" ht="15">
      <c r="A231" s="363"/>
      <c r="B231" s="363"/>
      <c r="C231" s="512"/>
      <c r="D231" s="361"/>
      <c r="E231" s="513"/>
      <c r="F231" s="361"/>
      <c r="G231" s="512"/>
      <c r="H231" s="361"/>
      <c r="I231" s="513"/>
      <c r="J231" s="363"/>
    </row>
    <row r="232" spans="1:10" ht="15">
      <c r="A232" s="363"/>
      <c r="B232" s="363"/>
      <c r="C232" s="512"/>
      <c r="D232" s="361"/>
      <c r="E232" s="513"/>
      <c r="F232" s="361"/>
      <c r="G232" s="512"/>
      <c r="H232" s="361"/>
      <c r="I232" s="513"/>
      <c r="J232" s="363"/>
    </row>
    <row r="233" spans="1:10" ht="15">
      <c r="A233" s="363"/>
      <c r="B233" s="363"/>
      <c r="C233" s="512"/>
      <c r="D233" s="361"/>
      <c r="E233" s="513"/>
      <c r="F233" s="361"/>
      <c r="G233" s="512"/>
      <c r="H233" s="361"/>
      <c r="I233" s="513"/>
      <c r="J233" s="363"/>
    </row>
    <row r="234" spans="1:10" ht="15">
      <c r="A234" s="363"/>
      <c r="B234" s="363"/>
      <c r="C234" s="512"/>
      <c r="D234" s="361"/>
      <c r="E234" s="513"/>
      <c r="F234" s="361"/>
      <c r="G234" s="512"/>
      <c r="H234" s="361"/>
      <c r="I234" s="513"/>
      <c r="J234" s="363"/>
    </row>
    <row r="235" spans="1:10" ht="15">
      <c r="A235" s="363"/>
      <c r="B235" s="363"/>
      <c r="C235" s="512"/>
      <c r="D235" s="361"/>
      <c r="E235" s="513"/>
      <c r="F235" s="361"/>
      <c r="G235" s="512"/>
      <c r="H235" s="361"/>
      <c r="I235" s="513"/>
      <c r="J235" s="363"/>
    </row>
    <row r="236" spans="1:10" ht="15">
      <c r="A236" s="363"/>
      <c r="B236" s="363"/>
      <c r="C236" s="512"/>
      <c r="D236" s="361"/>
      <c r="E236" s="513"/>
      <c r="F236" s="361"/>
      <c r="G236" s="512"/>
      <c r="H236" s="361"/>
      <c r="I236" s="513"/>
      <c r="J236" s="363"/>
    </row>
    <row r="237" spans="1:10" ht="15">
      <c r="A237" s="363"/>
      <c r="B237" s="363"/>
      <c r="C237" s="512"/>
      <c r="D237" s="361"/>
      <c r="E237" s="513"/>
      <c r="F237" s="361"/>
      <c r="G237" s="512"/>
      <c r="H237" s="361"/>
      <c r="I237" s="513"/>
      <c r="J237" s="363"/>
    </row>
    <row r="238" spans="1:10" ht="15">
      <c r="A238" s="363"/>
      <c r="B238" s="363"/>
      <c r="C238" s="512"/>
      <c r="D238" s="361"/>
      <c r="E238" s="513"/>
      <c r="F238" s="361"/>
      <c r="G238" s="512"/>
      <c r="H238" s="361"/>
      <c r="I238" s="513"/>
      <c r="J238" s="363"/>
    </row>
    <row r="239" spans="1:10" ht="15">
      <c r="A239" s="363"/>
      <c r="B239" s="363"/>
      <c r="C239" s="512"/>
      <c r="D239" s="361"/>
      <c r="E239" s="513"/>
      <c r="F239" s="361"/>
      <c r="G239" s="512"/>
      <c r="H239" s="361"/>
      <c r="I239" s="513"/>
      <c r="J239" s="363"/>
    </row>
    <row r="240" spans="1:10" ht="15">
      <c r="A240" s="363"/>
      <c r="B240" s="363"/>
      <c r="C240" s="512"/>
      <c r="D240" s="361"/>
      <c r="E240" s="513"/>
      <c r="F240" s="361"/>
      <c r="G240" s="512"/>
      <c r="H240" s="361"/>
      <c r="I240" s="513"/>
      <c r="J240" s="363"/>
    </row>
    <row r="241" spans="1:10" ht="15">
      <c r="A241" s="363"/>
      <c r="B241" s="363"/>
      <c r="C241" s="512"/>
      <c r="D241" s="361"/>
      <c r="E241" s="513"/>
      <c r="F241" s="361"/>
      <c r="G241" s="512"/>
      <c r="H241" s="361"/>
      <c r="I241" s="513"/>
      <c r="J241" s="363"/>
    </row>
    <row r="242" spans="1:10" ht="15">
      <c r="A242" s="363"/>
      <c r="B242" s="363"/>
      <c r="C242" s="512"/>
      <c r="D242" s="361"/>
      <c r="E242" s="513"/>
      <c r="F242" s="361"/>
      <c r="G242" s="512"/>
      <c r="H242" s="361"/>
      <c r="I242" s="513"/>
      <c r="J242" s="363"/>
    </row>
    <row r="243" spans="1:10" ht="15">
      <c r="A243" s="363"/>
      <c r="B243" s="363"/>
      <c r="C243" s="512"/>
      <c r="D243" s="361"/>
      <c r="E243" s="513"/>
      <c r="F243" s="361"/>
      <c r="G243" s="512"/>
      <c r="H243" s="361"/>
      <c r="I243" s="513"/>
      <c r="J243" s="363"/>
    </row>
    <row r="244" spans="1:10" ht="15">
      <c r="A244" s="363"/>
      <c r="B244" s="363"/>
      <c r="C244" s="512"/>
      <c r="D244" s="361"/>
      <c r="E244" s="513"/>
      <c r="F244" s="361"/>
      <c r="G244" s="512"/>
      <c r="H244" s="361"/>
      <c r="I244" s="513"/>
      <c r="J244" s="363"/>
    </row>
    <row r="245" spans="1:10" ht="15">
      <c r="A245" s="363"/>
      <c r="B245" s="363"/>
      <c r="C245" s="512"/>
      <c r="D245" s="361"/>
      <c r="E245" s="513"/>
      <c r="F245" s="361"/>
      <c r="G245" s="512"/>
      <c r="H245" s="361"/>
      <c r="I245" s="513"/>
      <c r="J245" s="363"/>
    </row>
    <row r="246" spans="1:10" ht="15">
      <c r="A246" s="363"/>
      <c r="B246" s="363"/>
      <c r="C246" s="512"/>
      <c r="D246" s="361"/>
      <c r="E246" s="513"/>
      <c r="F246" s="361"/>
      <c r="G246" s="512"/>
      <c r="H246" s="361"/>
      <c r="I246" s="513"/>
      <c r="J246" s="363"/>
    </row>
    <row r="247" spans="1:10" ht="15">
      <c r="A247" s="363"/>
      <c r="B247" s="363"/>
      <c r="C247" s="512"/>
      <c r="D247" s="361"/>
      <c r="E247" s="513"/>
      <c r="F247" s="361"/>
      <c r="G247" s="512"/>
      <c r="H247" s="361"/>
      <c r="I247" s="513"/>
      <c r="J247" s="363"/>
    </row>
    <row r="248" spans="1:10" ht="15">
      <c r="A248" s="363"/>
      <c r="B248" s="363"/>
      <c r="C248" s="512"/>
      <c r="D248" s="361"/>
      <c r="E248" s="513"/>
      <c r="F248" s="361"/>
      <c r="G248" s="512"/>
      <c r="H248" s="361"/>
      <c r="I248" s="513"/>
      <c r="J248" s="363"/>
    </row>
    <row r="249" spans="1:10" ht="15">
      <c r="A249" s="363"/>
      <c r="B249" s="363"/>
      <c r="C249" s="512"/>
      <c r="D249" s="361"/>
      <c r="E249" s="513"/>
      <c r="F249" s="361"/>
      <c r="G249" s="512"/>
      <c r="H249" s="361"/>
      <c r="I249" s="513"/>
      <c r="J249" s="363"/>
    </row>
    <row r="250" spans="1:10" ht="15">
      <c r="A250" s="363"/>
      <c r="B250" s="363"/>
      <c r="C250" s="512"/>
      <c r="D250" s="361"/>
      <c r="E250" s="513"/>
      <c r="F250" s="361"/>
      <c r="G250" s="512"/>
      <c r="H250" s="361"/>
      <c r="I250" s="513"/>
      <c r="J250" s="363"/>
    </row>
    <row r="251" spans="1:10" ht="15">
      <c r="A251" s="363"/>
      <c r="B251" s="363"/>
      <c r="C251" s="512"/>
      <c r="D251" s="361"/>
      <c r="E251" s="513"/>
      <c r="F251" s="361"/>
      <c r="G251" s="512"/>
      <c r="H251" s="361"/>
      <c r="I251" s="513"/>
      <c r="J251" s="363"/>
    </row>
    <row r="252" spans="1:10" ht="15">
      <c r="A252" s="363"/>
      <c r="B252" s="363"/>
      <c r="C252" s="512"/>
      <c r="D252" s="361"/>
      <c r="E252" s="513"/>
      <c r="F252" s="361"/>
      <c r="G252" s="512"/>
      <c r="H252" s="361"/>
      <c r="I252" s="513"/>
      <c r="J252" s="363"/>
    </row>
    <row r="253" spans="1:10" ht="15">
      <c r="A253" s="363"/>
      <c r="B253" s="363"/>
      <c r="C253" s="512"/>
      <c r="D253" s="361"/>
      <c r="E253" s="513"/>
      <c r="F253" s="361"/>
      <c r="G253" s="512"/>
      <c r="H253" s="361"/>
      <c r="I253" s="513"/>
      <c r="J253" s="363"/>
    </row>
    <row r="254" spans="1:10" ht="15">
      <c r="A254" s="363"/>
      <c r="B254" s="363"/>
      <c r="C254" s="512"/>
      <c r="D254" s="361"/>
      <c r="E254" s="513"/>
      <c r="F254" s="361"/>
      <c r="G254" s="512"/>
      <c r="H254" s="361"/>
      <c r="I254" s="513"/>
      <c r="J254" s="363"/>
    </row>
    <row r="255" spans="1:10" ht="15">
      <c r="A255" s="363"/>
      <c r="B255" s="363"/>
      <c r="C255" s="512"/>
      <c r="D255" s="361"/>
      <c r="E255" s="513"/>
      <c r="F255" s="361"/>
      <c r="G255" s="512"/>
      <c r="H255" s="361"/>
      <c r="I255" s="513"/>
      <c r="J255" s="363"/>
    </row>
    <row r="256" spans="1:10" ht="15">
      <c r="A256" s="363"/>
      <c r="B256" s="363"/>
      <c r="C256" s="512"/>
      <c r="D256" s="361"/>
      <c r="E256" s="513"/>
      <c r="F256" s="361"/>
      <c r="G256" s="512"/>
      <c r="H256" s="361"/>
      <c r="I256" s="513"/>
      <c r="J256" s="363"/>
    </row>
    <row r="257" spans="1:10" ht="15">
      <c r="A257" s="363"/>
      <c r="B257" s="363"/>
      <c r="C257" s="512"/>
      <c r="D257" s="361"/>
      <c r="E257" s="513"/>
      <c r="F257" s="361"/>
      <c r="G257" s="512"/>
      <c r="H257" s="361"/>
      <c r="I257" s="513"/>
      <c r="J257" s="363"/>
    </row>
    <row r="258" spans="1:10" ht="15">
      <c r="A258" s="363"/>
      <c r="B258" s="363"/>
      <c r="C258" s="512"/>
      <c r="D258" s="361"/>
      <c r="E258" s="513"/>
      <c r="F258" s="361"/>
      <c r="G258" s="512"/>
      <c r="H258" s="361"/>
      <c r="I258" s="513"/>
      <c r="J258" s="363"/>
    </row>
    <row r="259" spans="1:10" ht="15">
      <c r="A259" s="363"/>
      <c r="B259" s="363"/>
      <c r="C259" s="512"/>
      <c r="D259" s="361"/>
      <c r="E259" s="513"/>
      <c r="F259" s="361"/>
      <c r="G259" s="512"/>
      <c r="H259" s="361"/>
      <c r="I259" s="513"/>
      <c r="J259" s="363"/>
    </row>
    <row r="260" spans="1:10" ht="15">
      <c r="A260" s="363"/>
      <c r="B260" s="363"/>
      <c r="C260" s="512"/>
      <c r="D260" s="361"/>
      <c r="E260" s="513"/>
      <c r="F260" s="361"/>
      <c r="G260" s="512"/>
      <c r="H260" s="361"/>
      <c r="I260" s="513"/>
      <c r="J260" s="363"/>
    </row>
    <row r="261" spans="1:10" ht="15">
      <c r="A261" s="363"/>
      <c r="B261" s="363"/>
      <c r="C261" s="512"/>
      <c r="D261" s="361"/>
      <c r="E261" s="513"/>
      <c r="F261" s="361"/>
      <c r="G261" s="512"/>
      <c r="H261" s="361"/>
      <c r="I261" s="513"/>
      <c r="J261" s="363"/>
    </row>
    <row r="262" spans="1:10" ht="15">
      <c r="A262" s="363"/>
      <c r="B262" s="363"/>
      <c r="C262" s="512"/>
      <c r="D262" s="361"/>
      <c r="E262" s="513"/>
      <c r="F262" s="361"/>
      <c r="G262" s="512"/>
      <c r="H262" s="361"/>
      <c r="I262" s="513"/>
      <c r="J262" s="363"/>
    </row>
    <row r="263" spans="1:10" ht="15">
      <c r="A263" s="363"/>
      <c r="B263" s="363"/>
      <c r="C263" s="512"/>
      <c r="D263" s="361"/>
      <c r="E263" s="513"/>
      <c r="F263" s="361"/>
      <c r="G263" s="512"/>
      <c r="H263" s="361"/>
      <c r="I263" s="513"/>
      <c r="J263" s="363"/>
    </row>
    <row r="264" spans="1:10" ht="15">
      <c r="A264" s="363"/>
      <c r="B264" s="363"/>
      <c r="C264" s="512"/>
      <c r="D264" s="361"/>
      <c r="E264" s="513"/>
      <c r="F264" s="361"/>
      <c r="G264" s="512"/>
      <c r="H264" s="361"/>
      <c r="I264" s="513"/>
      <c r="J264" s="363"/>
    </row>
    <row r="265" spans="1:10" ht="15">
      <c r="A265" s="363"/>
      <c r="B265" s="363"/>
      <c r="C265" s="512"/>
      <c r="D265" s="361"/>
      <c r="E265" s="513"/>
      <c r="F265" s="361"/>
      <c r="G265" s="512"/>
      <c r="H265" s="361"/>
      <c r="I265" s="513"/>
      <c r="J265" s="363"/>
    </row>
    <row r="266" spans="1:10" ht="15">
      <c r="A266" s="363"/>
      <c r="B266" s="363"/>
      <c r="C266" s="512"/>
      <c r="D266" s="361"/>
      <c r="E266" s="513"/>
      <c r="F266" s="361"/>
      <c r="G266" s="512"/>
      <c r="H266" s="361"/>
      <c r="I266" s="513"/>
      <c r="J266" s="363"/>
    </row>
    <row r="267" spans="1:10" ht="15">
      <c r="A267" s="363"/>
      <c r="B267" s="363"/>
      <c r="C267" s="512"/>
      <c r="D267" s="361"/>
      <c r="E267" s="513"/>
      <c r="F267" s="361"/>
      <c r="G267" s="512"/>
      <c r="H267" s="361"/>
      <c r="I267" s="513"/>
      <c r="J267" s="363"/>
    </row>
    <row r="268" spans="1:10" ht="15">
      <c r="A268" s="363"/>
      <c r="B268" s="363"/>
      <c r="C268" s="512"/>
      <c r="D268" s="361"/>
      <c r="E268" s="513"/>
      <c r="F268" s="361"/>
      <c r="G268" s="512"/>
      <c r="H268" s="361"/>
      <c r="I268" s="513"/>
      <c r="J268" s="363"/>
    </row>
    <row r="269" spans="1:10" ht="15">
      <c r="A269" s="363"/>
      <c r="B269" s="363"/>
      <c r="C269" s="512"/>
      <c r="D269" s="361"/>
      <c r="E269" s="513"/>
      <c r="F269" s="361"/>
      <c r="G269" s="512"/>
      <c r="H269" s="361"/>
      <c r="I269" s="513"/>
      <c r="J269" s="363"/>
    </row>
    <row r="270" spans="1:10" ht="15">
      <c r="A270" s="363"/>
      <c r="B270" s="363"/>
      <c r="C270" s="512"/>
      <c r="D270" s="361"/>
      <c r="E270" s="513"/>
      <c r="F270" s="361"/>
      <c r="G270" s="512"/>
      <c r="H270" s="361"/>
      <c r="I270" s="513"/>
      <c r="J270" s="363"/>
    </row>
    <row r="271" spans="1:10" ht="15">
      <c r="A271" s="363"/>
      <c r="B271" s="363"/>
      <c r="C271" s="512"/>
      <c r="D271" s="361"/>
      <c r="E271" s="513"/>
      <c r="F271" s="361"/>
      <c r="G271" s="512"/>
      <c r="H271" s="361"/>
      <c r="I271" s="513"/>
      <c r="J271" s="363"/>
    </row>
    <row r="272" spans="1:10" ht="15">
      <c r="A272" s="363"/>
      <c r="B272" s="363"/>
      <c r="C272" s="512"/>
      <c r="D272" s="361"/>
      <c r="E272" s="513"/>
      <c r="F272" s="361"/>
      <c r="G272" s="512"/>
      <c r="H272" s="361"/>
      <c r="I272" s="513"/>
      <c r="J272" s="363"/>
    </row>
    <row r="273" spans="1:10" ht="15">
      <c r="A273" s="363"/>
      <c r="B273" s="363"/>
      <c r="C273" s="512"/>
      <c r="D273" s="361"/>
      <c r="E273" s="513"/>
      <c r="F273" s="361"/>
      <c r="G273" s="512"/>
      <c r="H273" s="361"/>
      <c r="I273" s="513"/>
      <c r="J273" s="363"/>
    </row>
    <row r="274" spans="1:10" ht="15">
      <c r="A274" s="363"/>
      <c r="B274" s="363"/>
      <c r="C274" s="512"/>
      <c r="D274" s="361"/>
      <c r="E274" s="513"/>
      <c r="F274" s="361"/>
      <c r="G274" s="512"/>
      <c r="H274" s="361"/>
      <c r="I274" s="513"/>
      <c r="J274" s="363"/>
    </row>
    <row r="275" spans="1:10" ht="15">
      <c r="A275" s="363"/>
      <c r="B275" s="363"/>
      <c r="C275" s="512"/>
      <c r="D275" s="361"/>
      <c r="E275" s="513"/>
      <c r="F275" s="361"/>
      <c r="G275" s="512"/>
      <c r="H275" s="361"/>
      <c r="I275" s="513"/>
      <c r="J275" s="363"/>
    </row>
    <row r="276" spans="1:10" ht="15">
      <c r="A276" s="363"/>
      <c r="B276" s="363"/>
      <c r="C276" s="512"/>
      <c r="D276" s="361"/>
      <c r="E276" s="513"/>
      <c r="F276" s="361"/>
      <c r="G276" s="512"/>
      <c r="H276" s="361"/>
      <c r="I276" s="513"/>
      <c r="J276" s="363"/>
    </row>
    <row r="277" spans="1:10" ht="15">
      <c r="A277" s="363"/>
      <c r="B277" s="363"/>
      <c r="C277" s="512"/>
      <c r="D277" s="361"/>
      <c r="E277" s="513"/>
      <c r="F277" s="361"/>
      <c r="G277" s="512"/>
      <c r="H277" s="361"/>
      <c r="I277" s="513"/>
      <c r="J277" s="363"/>
    </row>
    <row r="278" spans="1:10" ht="15">
      <c r="A278" s="363"/>
      <c r="B278" s="363"/>
      <c r="C278" s="512"/>
      <c r="D278" s="361"/>
      <c r="E278" s="513"/>
      <c r="F278" s="361"/>
      <c r="G278" s="512"/>
      <c r="H278" s="361"/>
      <c r="I278" s="513"/>
      <c r="J278" s="363"/>
    </row>
    <row r="279" spans="1:10" ht="15">
      <c r="A279" s="363"/>
      <c r="B279" s="363"/>
      <c r="C279" s="512"/>
      <c r="D279" s="361"/>
      <c r="E279" s="513"/>
      <c r="F279" s="361"/>
      <c r="G279" s="512"/>
      <c r="H279" s="361"/>
      <c r="I279" s="513"/>
      <c r="J279" s="363"/>
    </row>
    <row r="280" spans="1:10" ht="15">
      <c r="A280" s="363"/>
      <c r="B280" s="363"/>
      <c r="C280" s="512"/>
      <c r="D280" s="361"/>
      <c r="E280" s="513"/>
      <c r="F280" s="361"/>
      <c r="G280" s="512"/>
      <c r="H280" s="361"/>
      <c r="I280" s="513"/>
      <c r="J280" s="363"/>
    </row>
    <row r="281" spans="1:10" ht="15">
      <c r="A281" s="363"/>
      <c r="B281" s="363"/>
      <c r="C281" s="512"/>
      <c r="D281" s="361"/>
      <c r="E281" s="513"/>
      <c r="F281" s="361"/>
      <c r="G281" s="512"/>
      <c r="H281" s="361"/>
      <c r="I281" s="513"/>
      <c r="J281" s="363"/>
    </row>
    <row r="282" spans="1:10" ht="15">
      <c r="A282" s="363"/>
      <c r="B282" s="363"/>
      <c r="C282" s="512"/>
      <c r="D282" s="361"/>
      <c r="E282" s="513"/>
      <c r="F282" s="361"/>
      <c r="G282" s="512"/>
      <c r="H282" s="361"/>
      <c r="I282" s="513"/>
      <c r="J282" s="363"/>
    </row>
    <row r="283" spans="1:10" ht="15">
      <c r="A283" s="363"/>
      <c r="B283" s="363"/>
      <c r="C283" s="512"/>
      <c r="D283" s="361"/>
      <c r="E283" s="513"/>
      <c r="F283" s="361"/>
      <c r="G283" s="512"/>
      <c r="H283" s="361"/>
      <c r="I283" s="513"/>
      <c r="J283" s="363"/>
    </row>
    <row r="284" spans="1:10" ht="15">
      <c r="A284" s="363"/>
      <c r="B284" s="363"/>
      <c r="C284" s="512"/>
      <c r="D284" s="361"/>
      <c r="E284" s="513"/>
      <c r="F284" s="361"/>
      <c r="G284" s="512"/>
      <c r="H284" s="361"/>
      <c r="I284" s="513"/>
      <c r="J284" s="363"/>
    </row>
    <row r="285" spans="1:10" ht="15">
      <c r="A285" s="363"/>
      <c r="B285" s="363"/>
      <c r="C285" s="512"/>
      <c r="D285" s="361"/>
      <c r="E285" s="513"/>
      <c r="F285" s="361"/>
      <c r="G285" s="512"/>
      <c r="H285" s="361"/>
      <c r="I285" s="513"/>
      <c r="J285" s="363"/>
    </row>
    <row r="286" spans="1:10" ht="15">
      <c r="A286" s="363"/>
      <c r="B286" s="363"/>
      <c r="C286" s="512"/>
      <c r="D286" s="361"/>
      <c r="E286" s="513"/>
      <c r="F286" s="361"/>
      <c r="G286" s="512"/>
      <c r="H286" s="361"/>
      <c r="I286" s="513"/>
      <c r="J286" s="363"/>
    </row>
    <row r="287" spans="1:10" ht="15">
      <c r="A287" s="363"/>
      <c r="B287" s="363"/>
      <c r="C287" s="512"/>
      <c r="D287" s="361"/>
      <c r="E287" s="513"/>
      <c r="F287" s="361"/>
      <c r="G287" s="512"/>
      <c r="H287" s="361"/>
      <c r="I287" s="513"/>
      <c r="J287" s="363"/>
    </row>
    <row r="288" spans="1:10" ht="15">
      <c r="A288" s="363"/>
      <c r="B288" s="363"/>
      <c r="C288" s="512"/>
      <c r="D288" s="361"/>
      <c r="E288" s="513"/>
      <c r="F288" s="361"/>
      <c r="G288" s="512"/>
      <c r="H288" s="361"/>
      <c r="I288" s="513"/>
      <c r="J288" s="363"/>
    </row>
    <row r="289" spans="1:10" ht="15">
      <c r="A289" s="363"/>
      <c r="B289" s="363"/>
      <c r="C289" s="512"/>
      <c r="D289" s="361"/>
      <c r="E289" s="513"/>
      <c r="F289" s="361"/>
      <c r="G289" s="512"/>
      <c r="H289" s="361"/>
      <c r="I289" s="513"/>
      <c r="J289" s="363"/>
    </row>
    <row r="290" spans="1:10" ht="15">
      <c r="A290" s="363"/>
      <c r="B290" s="363"/>
      <c r="C290" s="512"/>
      <c r="D290" s="361"/>
      <c r="E290" s="513"/>
      <c r="F290" s="361"/>
      <c r="G290" s="512"/>
      <c r="H290" s="361"/>
      <c r="I290" s="513"/>
      <c r="J290" s="363"/>
    </row>
    <row r="291" spans="1:10" ht="15">
      <c r="A291" s="363"/>
      <c r="B291" s="363"/>
      <c r="C291" s="512"/>
      <c r="D291" s="361"/>
      <c r="E291" s="513"/>
      <c r="F291" s="361"/>
      <c r="G291" s="512"/>
      <c r="H291" s="361"/>
      <c r="I291" s="513"/>
      <c r="J291" s="363"/>
    </row>
    <row r="292" spans="1:10" ht="15">
      <c r="A292" s="363"/>
      <c r="B292" s="363"/>
      <c r="C292" s="512"/>
      <c r="D292" s="361"/>
      <c r="E292" s="513"/>
      <c r="F292" s="361"/>
      <c r="G292" s="512"/>
      <c r="H292" s="361"/>
      <c r="I292" s="513"/>
      <c r="J292" s="363"/>
    </row>
    <row r="293" spans="1:10" ht="15">
      <c r="A293" s="363"/>
      <c r="B293" s="363"/>
      <c r="C293" s="512"/>
      <c r="D293" s="361"/>
      <c r="E293" s="513"/>
      <c r="F293" s="361"/>
      <c r="G293" s="512"/>
      <c r="H293" s="361"/>
      <c r="I293" s="513"/>
      <c r="J293" s="363"/>
    </row>
    <row r="294" spans="1:10" ht="15">
      <c r="A294" s="363"/>
      <c r="B294" s="363"/>
      <c r="C294" s="512"/>
      <c r="D294" s="361"/>
      <c r="E294" s="513"/>
      <c r="F294" s="361"/>
      <c r="G294" s="512"/>
      <c r="H294" s="361"/>
      <c r="I294" s="513"/>
      <c r="J294" s="363"/>
    </row>
    <row r="295" spans="1:10" ht="15">
      <c r="A295" s="363"/>
      <c r="B295" s="363"/>
      <c r="C295" s="512"/>
      <c r="D295" s="361"/>
      <c r="E295" s="513"/>
      <c r="F295" s="361"/>
      <c r="G295" s="512"/>
      <c r="H295" s="361"/>
      <c r="I295" s="513"/>
      <c r="J295" s="363"/>
    </row>
    <row r="296" spans="1:10" ht="15">
      <c r="A296" s="363"/>
      <c r="B296" s="363"/>
      <c r="C296" s="512"/>
      <c r="D296" s="361"/>
      <c r="E296" s="513"/>
      <c r="F296" s="361"/>
      <c r="G296" s="512"/>
      <c r="H296" s="361"/>
      <c r="I296" s="513"/>
      <c r="J296" s="363"/>
    </row>
    <row r="297" spans="1:10" ht="15">
      <c r="A297" s="363"/>
      <c r="B297" s="363"/>
      <c r="C297" s="512"/>
      <c r="D297" s="361"/>
      <c r="E297" s="513"/>
      <c r="F297" s="361"/>
      <c r="G297" s="512"/>
      <c r="H297" s="361"/>
      <c r="I297" s="513"/>
      <c r="J297" s="363"/>
    </row>
    <row r="298" spans="1:10" ht="15">
      <c r="A298" s="363"/>
      <c r="B298" s="363"/>
      <c r="C298" s="512"/>
      <c r="D298" s="361"/>
      <c r="E298" s="513"/>
      <c r="F298" s="361"/>
      <c r="G298" s="512"/>
      <c r="H298" s="361"/>
      <c r="I298" s="513"/>
      <c r="J298" s="363"/>
    </row>
    <row r="299" spans="1:10" ht="15">
      <c r="A299" s="363"/>
      <c r="B299" s="363"/>
      <c r="C299" s="512"/>
      <c r="D299" s="361"/>
      <c r="E299" s="513"/>
      <c r="F299" s="361"/>
      <c r="G299" s="512"/>
      <c r="H299" s="361"/>
      <c r="I299" s="513"/>
      <c r="J299" s="363"/>
    </row>
    <row r="300" spans="1:10" ht="15">
      <c r="A300" s="363"/>
      <c r="B300" s="363"/>
      <c r="C300" s="512"/>
      <c r="D300" s="361"/>
      <c r="E300" s="513"/>
      <c r="F300" s="361"/>
      <c r="G300" s="512"/>
      <c r="H300" s="361"/>
      <c r="I300" s="513"/>
      <c r="J300" s="363"/>
    </row>
    <row r="301" spans="1:10" ht="15">
      <c r="A301" s="363"/>
      <c r="B301" s="363"/>
      <c r="C301" s="512"/>
      <c r="D301" s="361"/>
      <c r="E301" s="513"/>
      <c r="F301" s="361"/>
      <c r="G301" s="512"/>
      <c r="H301" s="361"/>
      <c r="I301" s="513"/>
      <c r="J301" s="363"/>
    </row>
    <row r="302" spans="1:10" ht="15">
      <c r="A302" s="363"/>
      <c r="B302" s="363"/>
      <c r="C302" s="512"/>
      <c r="D302" s="361"/>
      <c r="E302" s="513"/>
      <c r="F302" s="361"/>
      <c r="G302" s="512"/>
      <c r="H302" s="361"/>
      <c r="I302" s="513"/>
      <c r="J302" s="363"/>
    </row>
    <row r="303" spans="1:10" ht="15">
      <c r="A303" s="363"/>
      <c r="B303" s="363"/>
      <c r="C303" s="512"/>
      <c r="D303" s="361"/>
      <c r="E303" s="513"/>
      <c r="F303" s="361"/>
      <c r="G303" s="512"/>
      <c r="H303" s="361"/>
      <c r="I303" s="513"/>
      <c r="J303" s="363"/>
    </row>
    <row r="304" spans="1:10" ht="15">
      <c r="A304" s="363"/>
      <c r="B304" s="363"/>
      <c r="C304" s="512"/>
      <c r="D304" s="361"/>
      <c r="E304" s="513"/>
      <c r="F304" s="361"/>
      <c r="G304" s="512"/>
      <c r="H304" s="361"/>
      <c r="I304" s="513"/>
      <c r="J304" s="363"/>
    </row>
    <row r="305" spans="1:10" ht="15">
      <c r="A305" s="363"/>
      <c r="B305" s="363"/>
      <c r="C305" s="512"/>
      <c r="D305" s="361"/>
      <c r="E305" s="513"/>
      <c r="F305" s="361"/>
      <c r="G305" s="512"/>
      <c r="H305" s="361"/>
      <c r="I305" s="513"/>
      <c r="J305" s="363"/>
    </row>
    <row r="306" spans="1:10" ht="15">
      <c r="A306" s="363"/>
      <c r="B306" s="363"/>
      <c r="C306" s="512"/>
      <c r="D306" s="361"/>
      <c r="E306" s="513"/>
      <c r="F306" s="361"/>
      <c r="G306" s="512"/>
      <c r="H306" s="361"/>
      <c r="I306" s="513"/>
      <c r="J306" s="363"/>
    </row>
    <row r="307" spans="1:10" ht="15">
      <c r="A307" s="363"/>
      <c r="B307" s="363"/>
      <c r="C307" s="512"/>
      <c r="D307" s="361"/>
      <c r="E307" s="513"/>
      <c r="F307" s="361"/>
      <c r="G307" s="512"/>
      <c r="H307" s="361"/>
      <c r="I307" s="513"/>
      <c r="J307" s="363"/>
    </row>
    <row r="308" spans="1:10" ht="15">
      <c r="A308" s="363"/>
      <c r="B308" s="363"/>
      <c r="C308" s="512"/>
      <c r="D308" s="361"/>
      <c r="E308" s="513"/>
      <c r="F308" s="361"/>
      <c r="G308" s="512"/>
      <c r="H308" s="361"/>
      <c r="I308" s="513"/>
      <c r="J308" s="363"/>
    </row>
    <row r="309" spans="1:10" ht="15">
      <c r="A309" s="363"/>
      <c r="B309" s="363"/>
      <c r="C309" s="512"/>
      <c r="D309" s="361"/>
      <c r="E309" s="513"/>
      <c r="F309" s="361"/>
      <c r="G309" s="512"/>
      <c r="H309" s="361"/>
      <c r="I309" s="513"/>
      <c r="J309" s="363"/>
    </row>
    <row r="310" spans="1:10" ht="15">
      <c r="A310" s="363"/>
      <c r="B310" s="363"/>
      <c r="C310" s="512"/>
      <c r="D310" s="361"/>
      <c r="E310" s="513"/>
      <c r="F310" s="361"/>
      <c r="G310" s="512"/>
      <c r="H310" s="361"/>
      <c r="I310" s="513"/>
      <c r="J310" s="363"/>
    </row>
    <row r="311" spans="1:10" ht="15">
      <c r="A311" s="363"/>
      <c r="B311" s="363"/>
      <c r="C311" s="512"/>
      <c r="D311" s="361"/>
      <c r="E311" s="513"/>
      <c r="F311" s="361"/>
      <c r="G311" s="512"/>
      <c r="H311" s="361"/>
      <c r="I311" s="513"/>
      <c r="J311" s="363"/>
    </row>
    <row r="312" spans="1:10" ht="15">
      <c r="A312" s="363"/>
      <c r="B312" s="363"/>
      <c r="C312" s="512"/>
      <c r="D312" s="361"/>
      <c r="E312" s="513"/>
      <c r="F312" s="361"/>
      <c r="G312" s="512"/>
      <c r="H312" s="361"/>
      <c r="I312" s="513"/>
      <c r="J312" s="363"/>
    </row>
    <row r="313" spans="1:10" ht="15">
      <c r="A313" s="363"/>
      <c r="B313" s="363"/>
      <c r="C313" s="512"/>
      <c r="D313" s="361"/>
      <c r="E313" s="513"/>
      <c r="F313" s="361"/>
      <c r="G313" s="512"/>
      <c r="H313" s="361"/>
      <c r="I313" s="513"/>
      <c r="J313" s="363"/>
    </row>
    <row r="314" spans="1:10" ht="15">
      <c r="A314" s="363"/>
      <c r="B314" s="363"/>
      <c r="C314" s="512"/>
      <c r="D314" s="361"/>
      <c r="E314" s="513"/>
      <c r="F314" s="361"/>
      <c r="G314" s="512"/>
      <c r="H314" s="361"/>
      <c r="I314" s="513"/>
      <c r="J314" s="363"/>
    </row>
    <row r="315" spans="1:10" ht="15">
      <c r="A315" s="363"/>
      <c r="B315" s="363"/>
      <c r="C315" s="512"/>
      <c r="D315" s="361"/>
      <c r="E315" s="513"/>
      <c r="F315" s="361"/>
      <c r="G315" s="512"/>
      <c r="H315" s="361"/>
      <c r="I315" s="513"/>
      <c r="J315" s="363"/>
    </row>
    <row r="316" spans="1:10" ht="15">
      <c r="A316" s="363"/>
      <c r="B316" s="363"/>
      <c r="C316" s="512"/>
      <c r="D316" s="361"/>
      <c r="E316" s="513"/>
      <c r="F316" s="361"/>
      <c r="G316" s="512"/>
      <c r="H316" s="361"/>
      <c r="I316" s="513"/>
      <c r="J316" s="363"/>
    </row>
    <row r="317" spans="1:10" ht="15">
      <c r="A317" s="363"/>
      <c r="B317" s="363"/>
      <c r="C317" s="512"/>
      <c r="D317" s="361"/>
      <c r="E317" s="513"/>
      <c r="F317" s="361"/>
      <c r="G317" s="512"/>
      <c r="H317" s="361"/>
      <c r="I317" s="513"/>
      <c r="J317" s="363"/>
    </row>
    <row r="318" spans="1:10" ht="15">
      <c r="A318" s="363"/>
      <c r="B318" s="363"/>
      <c r="C318" s="512"/>
      <c r="D318" s="361"/>
      <c r="E318" s="513"/>
      <c r="F318" s="361"/>
      <c r="G318" s="512"/>
      <c r="H318" s="361"/>
      <c r="I318" s="513"/>
      <c r="J318" s="363"/>
    </row>
    <row r="319" spans="1:10" ht="15">
      <c r="A319" s="363"/>
      <c r="B319" s="363"/>
      <c r="C319" s="512"/>
      <c r="D319" s="361"/>
      <c r="E319" s="513"/>
      <c r="F319" s="361"/>
      <c r="G319" s="512"/>
      <c r="H319" s="361"/>
      <c r="I319" s="513"/>
      <c r="J319" s="363"/>
    </row>
    <row r="320" spans="1:10" ht="15">
      <c r="A320" s="363"/>
      <c r="B320" s="363"/>
      <c r="C320" s="512"/>
      <c r="D320" s="361"/>
      <c r="E320" s="513"/>
      <c r="F320" s="361"/>
      <c r="G320" s="512"/>
      <c r="H320" s="361"/>
      <c r="I320" s="513"/>
      <c r="J320" s="363"/>
    </row>
    <row r="321" spans="1:10" ht="15">
      <c r="A321" s="363"/>
      <c r="B321" s="363"/>
      <c r="C321" s="512"/>
      <c r="D321" s="361"/>
      <c r="E321" s="513"/>
      <c r="F321" s="361"/>
      <c r="G321" s="512"/>
      <c r="H321" s="361"/>
      <c r="I321" s="513"/>
      <c r="J321" s="363"/>
    </row>
    <row r="322" spans="1:10" ht="15">
      <c r="A322" s="363"/>
      <c r="B322" s="363"/>
      <c r="C322" s="512"/>
      <c r="D322" s="361"/>
      <c r="E322" s="513"/>
      <c r="F322" s="361"/>
      <c r="G322" s="512"/>
      <c r="H322" s="361"/>
      <c r="I322" s="513"/>
      <c r="J322" s="363"/>
    </row>
    <row r="323" spans="1:10" ht="15">
      <c r="A323" s="363"/>
      <c r="B323" s="363"/>
      <c r="C323" s="512"/>
      <c r="D323" s="361"/>
      <c r="E323" s="513"/>
      <c r="F323" s="361"/>
      <c r="G323" s="512"/>
      <c r="H323" s="361"/>
      <c r="I323" s="513"/>
      <c r="J323" s="363"/>
    </row>
    <row r="324" spans="1:10" ht="15">
      <c r="A324" s="363"/>
      <c r="B324" s="363"/>
      <c r="C324" s="512"/>
      <c r="D324" s="361"/>
      <c r="E324" s="513"/>
      <c r="F324" s="361"/>
      <c r="G324" s="512"/>
      <c r="H324" s="361"/>
      <c r="I324" s="513"/>
      <c r="J324" s="363"/>
    </row>
    <row r="325" spans="1:10" ht="15">
      <c r="A325" s="363"/>
      <c r="B325" s="363"/>
      <c r="C325" s="512"/>
      <c r="D325" s="361"/>
      <c r="E325" s="513"/>
      <c r="F325" s="361"/>
      <c r="G325" s="512"/>
      <c r="H325" s="361"/>
      <c r="I325" s="513"/>
      <c r="J325" s="363"/>
    </row>
    <row r="326" spans="1:10" ht="15">
      <c r="A326" s="363"/>
      <c r="B326" s="363"/>
      <c r="C326" s="512"/>
      <c r="D326" s="361"/>
      <c r="E326" s="513"/>
      <c r="F326" s="361"/>
      <c r="G326" s="512"/>
      <c r="H326" s="361"/>
      <c r="I326" s="513"/>
      <c r="J326" s="363"/>
    </row>
    <row r="327" spans="1:10" ht="15">
      <c r="A327" s="363"/>
      <c r="B327" s="363"/>
      <c r="C327" s="512"/>
      <c r="D327" s="361"/>
      <c r="E327" s="513"/>
      <c r="F327" s="361"/>
      <c r="G327" s="512"/>
      <c r="H327" s="361"/>
      <c r="I327" s="513"/>
      <c r="J327" s="363"/>
    </row>
    <row r="328" spans="1:10" ht="15">
      <c r="A328" s="363"/>
      <c r="B328" s="363"/>
      <c r="C328" s="512"/>
      <c r="D328" s="361"/>
      <c r="E328" s="513"/>
      <c r="F328" s="361"/>
      <c r="G328" s="512"/>
      <c r="H328" s="361"/>
      <c r="I328" s="513"/>
      <c r="J328" s="363"/>
    </row>
    <row r="329" spans="1:10" ht="15">
      <c r="A329" s="363"/>
      <c r="B329" s="363"/>
      <c r="C329" s="512"/>
      <c r="D329" s="361"/>
      <c r="E329" s="513"/>
      <c r="F329" s="361"/>
      <c r="G329" s="512"/>
      <c r="H329" s="361"/>
      <c r="I329" s="513"/>
      <c r="J329" s="363"/>
    </row>
    <row r="330" spans="1:10" ht="15">
      <c r="A330" s="363"/>
      <c r="B330" s="363"/>
      <c r="C330" s="512"/>
      <c r="D330" s="361"/>
      <c r="E330" s="513"/>
      <c r="F330" s="361"/>
      <c r="G330" s="512"/>
      <c r="H330" s="361"/>
      <c r="I330" s="513"/>
      <c r="J330" s="363"/>
    </row>
    <row r="331" spans="1:10" ht="15">
      <c r="A331" s="363"/>
      <c r="B331" s="363"/>
      <c r="C331" s="512"/>
      <c r="D331" s="361"/>
      <c r="E331" s="513"/>
      <c r="F331" s="361"/>
      <c r="G331" s="512"/>
      <c r="H331" s="361"/>
      <c r="I331" s="513"/>
      <c r="J331" s="363"/>
    </row>
    <row r="332" spans="1:10" ht="15">
      <c r="A332" s="363"/>
      <c r="B332" s="363"/>
      <c r="C332" s="512"/>
      <c r="D332" s="361"/>
      <c r="E332" s="513"/>
      <c r="F332" s="361"/>
      <c r="G332" s="512"/>
      <c r="H332" s="361"/>
      <c r="I332" s="513"/>
      <c r="J332" s="363"/>
    </row>
    <row r="333" spans="1:10" ht="15">
      <c r="A333" s="363"/>
      <c r="B333" s="363"/>
      <c r="C333" s="512"/>
      <c r="D333" s="361"/>
      <c r="E333" s="513"/>
      <c r="F333" s="361"/>
      <c r="G333" s="512"/>
      <c r="H333" s="361"/>
      <c r="I333" s="513"/>
      <c r="J333" s="363"/>
    </row>
    <row r="334" spans="1:10" ht="15">
      <c r="A334" s="363"/>
      <c r="B334" s="363"/>
      <c r="C334" s="512"/>
      <c r="D334" s="361"/>
      <c r="E334" s="513"/>
      <c r="F334" s="361"/>
      <c r="G334" s="512"/>
      <c r="H334" s="361"/>
      <c r="I334" s="513"/>
      <c r="J334" s="363"/>
    </row>
    <row r="335" spans="1:10" ht="15">
      <c r="A335" s="363"/>
      <c r="B335" s="363"/>
      <c r="C335" s="512"/>
      <c r="D335" s="361"/>
      <c r="E335" s="513"/>
      <c r="F335" s="361"/>
      <c r="G335" s="512"/>
      <c r="H335" s="361"/>
      <c r="I335" s="513"/>
      <c r="J335" s="363"/>
    </row>
    <row r="336" spans="1:10" ht="15">
      <c r="A336" s="363"/>
      <c r="B336" s="363"/>
      <c r="C336" s="512"/>
      <c r="D336" s="361"/>
      <c r="E336" s="513"/>
      <c r="F336" s="361"/>
      <c r="G336" s="512"/>
      <c r="H336" s="361"/>
      <c r="I336" s="513"/>
      <c r="J336" s="363"/>
    </row>
    <row r="337" spans="1:10" ht="15">
      <c r="A337" s="363"/>
      <c r="B337" s="363"/>
      <c r="C337" s="512"/>
      <c r="D337" s="361"/>
      <c r="E337" s="513"/>
      <c r="F337" s="361"/>
      <c r="G337" s="512"/>
      <c r="H337" s="361"/>
      <c r="I337" s="513"/>
      <c r="J337" s="363"/>
    </row>
    <row r="338" spans="1:10" ht="15">
      <c r="A338" s="363"/>
      <c r="B338" s="363"/>
      <c r="C338" s="512"/>
      <c r="D338" s="361"/>
      <c r="E338" s="513"/>
      <c r="F338" s="361"/>
      <c r="G338" s="512"/>
      <c r="H338" s="361"/>
      <c r="I338" s="513"/>
      <c r="J338" s="363"/>
    </row>
    <row r="339" spans="1:10" ht="15">
      <c r="A339" s="363"/>
      <c r="B339" s="363"/>
      <c r="C339" s="512"/>
      <c r="D339" s="361"/>
      <c r="E339" s="513"/>
      <c r="F339" s="361"/>
      <c r="G339" s="512"/>
      <c r="H339" s="361"/>
      <c r="I339" s="513"/>
      <c r="J339" s="363"/>
    </row>
    <row r="340" spans="1:10" ht="15">
      <c r="A340" s="363"/>
      <c r="B340" s="363"/>
      <c r="C340" s="512"/>
      <c r="D340" s="361"/>
      <c r="E340" s="513"/>
      <c r="F340" s="361"/>
      <c r="G340" s="512"/>
      <c r="H340" s="361"/>
      <c r="I340" s="513"/>
      <c r="J340" s="363"/>
    </row>
    <row r="341" spans="1:10" ht="15">
      <c r="A341" s="363"/>
      <c r="B341" s="363"/>
      <c r="C341" s="512"/>
      <c r="D341" s="361"/>
      <c r="E341" s="513"/>
      <c r="F341" s="361"/>
      <c r="G341" s="512"/>
      <c r="H341" s="361"/>
      <c r="I341" s="513"/>
      <c r="J341" s="363"/>
    </row>
    <row r="342" spans="1:10" ht="15">
      <c r="A342" s="363"/>
      <c r="B342" s="363"/>
      <c r="C342" s="512"/>
      <c r="D342" s="361"/>
      <c r="E342" s="513"/>
      <c r="F342" s="361"/>
      <c r="G342" s="512"/>
      <c r="H342" s="361"/>
      <c r="I342" s="513"/>
      <c r="J342" s="363"/>
    </row>
    <row r="343" spans="1:10" ht="15">
      <c r="A343" s="363"/>
      <c r="B343" s="363"/>
      <c r="C343" s="512"/>
      <c r="D343" s="361"/>
      <c r="E343" s="513"/>
      <c r="F343" s="361"/>
      <c r="G343" s="512"/>
      <c r="H343" s="361"/>
      <c r="I343" s="513"/>
      <c r="J343" s="363"/>
    </row>
    <row r="344" spans="1:10" ht="15">
      <c r="A344" s="363"/>
      <c r="B344" s="363"/>
      <c r="C344" s="512"/>
      <c r="D344" s="361"/>
      <c r="E344" s="513"/>
      <c r="F344" s="361"/>
      <c r="G344" s="512"/>
      <c r="H344" s="361"/>
      <c r="I344" s="513"/>
      <c r="J344" s="363"/>
    </row>
    <row r="345" spans="1:10" ht="15">
      <c r="A345" s="363"/>
      <c r="B345" s="363"/>
      <c r="C345" s="512"/>
      <c r="D345" s="361"/>
      <c r="E345" s="513"/>
      <c r="F345" s="361"/>
      <c r="G345" s="512"/>
      <c r="H345" s="361"/>
      <c r="I345" s="513"/>
      <c r="J345" s="363"/>
    </row>
    <row r="346" spans="1:10" ht="15">
      <c r="A346" s="363"/>
      <c r="B346" s="363"/>
      <c r="C346" s="512"/>
      <c r="D346" s="361"/>
      <c r="E346" s="513"/>
      <c r="F346" s="361"/>
      <c r="G346" s="512"/>
      <c r="H346" s="361"/>
      <c r="I346" s="513"/>
      <c r="J346" s="363"/>
    </row>
    <row r="347" spans="1:10" ht="15">
      <c r="A347" s="363"/>
      <c r="B347" s="363"/>
      <c r="C347" s="512"/>
      <c r="D347" s="361"/>
      <c r="E347" s="513"/>
      <c r="F347" s="361"/>
      <c r="G347" s="512"/>
      <c r="H347" s="361"/>
      <c r="I347" s="513"/>
      <c r="J347" s="363"/>
    </row>
    <row r="348" spans="1:10" ht="15">
      <c r="A348" s="363"/>
      <c r="B348" s="363"/>
      <c r="C348" s="512"/>
      <c r="D348" s="361"/>
      <c r="E348" s="513"/>
      <c r="F348" s="361"/>
      <c r="G348" s="512"/>
      <c r="H348" s="361"/>
      <c r="I348" s="513"/>
      <c r="J348" s="363"/>
    </row>
    <row r="349" spans="1:10" ht="15">
      <c r="A349" s="363"/>
      <c r="B349" s="363"/>
      <c r="C349" s="512"/>
      <c r="D349" s="361"/>
      <c r="E349" s="513"/>
      <c r="F349" s="361"/>
      <c r="G349" s="512"/>
      <c r="H349" s="361"/>
      <c r="I349" s="513"/>
      <c r="J349" s="363"/>
    </row>
    <row r="350" spans="1:10" ht="15">
      <c r="A350" s="363"/>
      <c r="B350" s="363"/>
      <c r="C350" s="512"/>
      <c r="D350" s="361"/>
      <c r="E350" s="513"/>
      <c r="F350" s="361"/>
      <c r="G350" s="512"/>
      <c r="H350" s="361"/>
      <c r="I350" s="513"/>
      <c r="J350" s="363"/>
    </row>
    <row r="351" spans="1:10" ht="15">
      <c r="A351" s="363"/>
      <c r="B351" s="363"/>
      <c r="C351" s="512"/>
      <c r="D351" s="361"/>
      <c r="E351" s="513"/>
      <c r="F351" s="361"/>
      <c r="G351" s="512"/>
      <c r="H351" s="361"/>
      <c r="I351" s="513"/>
      <c r="J351" s="363"/>
    </row>
    <row r="352" spans="1:10" ht="15">
      <c r="A352" s="363"/>
      <c r="B352" s="363"/>
      <c r="C352" s="512"/>
      <c r="D352" s="361"/>
      <c r="E352" s="513"/>
      <c r="F352" s="361"/>
      <c r="G352" s="512"/>
      <c r="H352" s="361"/>
      <c r="I352" s="513"/>
      <c r="J352" s="363"/>
    </row>
    <row r="353" spans="1:10" ht="15">
      <c r="A353" s="363"/>
      <c r="B353" s="363"/>
      <c r="C353" s="512"/>
      <c r="D353" s="361"/>
      <c r="E353" s="513"/>
      <c r="F353" s="361"/>
      <c r="G353" s="512"/>
      <c r="H353" s="361"/>
      <c r="I353" s="513"/>
      <c r="J353" s="363"/>
    </row>
    <row r="354" spans="1:10" ht="15">
      <c r="A354" s="363"/>
      <c r="B354" s="363"/>
      <c r="C354" s="512"/>
      <c r="D354" s="361"/>
      <c r="E354" s="513"/>
      <c r="F354" s="361"/>
      <c r="G354" s="512"/>
      <c r="H354" s="361"/>
      <c r="I354" s="513"/>
      <c r="J354" s="363"/>
    </row>
    <row r="355" spans="1:10" ht="15">
      <c r="A355" s="363"/>
      <c r="B355" s="363"/>
      <c r="C355" s="512"/>
      <c r="D355" s="361"/>
      <c r="E355" s="513"/>
      <c r="F355" s="361"/>
      <c r="G355" s="512"/>
      <c r="H355" s="361"/>
      <c r="I355" s="513"/>
      <c r="J355" s="363"/>
    </row>
    <row r="356" spans="1:10" ht="15">
      <c r="A356" s="363"/>
      <c r="B356" s="363"/>
      <c r="C356"/>
      <c r="D356" s="361"/>
      <c r="E356" s="423"/>
      <c r="F356" s="361"/>
      <c r="G356"/>
      <c r="H356" s="361"/>
      <c r="I356" s="423"/>
      <c r="J356" s="363"/>
    </row>
    <row r="357" spans="1:10" ht="15">
      <c r="A357" s="363"/>
      <c r="B357" s="363"/>
      <c r="C357"/>
      <c r="D357" s="361"/>
      <c r="E357" s="423"/>
      <c r="F357" s="361"/>
      <c r="G357"/>
      <c r="H357" s="361"/>
      <c r="I357" s="423"/>
      <c r="J357" s="363"/>
    </row>
    <row r="358" spans="1:10" ht="15">
      <c r="A358" s="363"/>
      <c r="B358" s="363"/>
      <c r="C358"/>
      <c r="D358" s="361"/>
      <c r="E358" s="423"/>
      <c r="F358" s="361"/>
      <c r="G358"/>
      <c r="H358" s="361"/>
      <c r="I358" s="423"/>
      <c r="J358" s="363"/>
    </row>
    <row r="359" spans="1:10" ht="15">
      <c r="A359" s="363"/>
      <c r="B359" s="363"/>
      <c r="C359"/>
      <c r="D359" s="361"/>
      <c r="E359" s="423"/>
      <c r="F359" s="361"/>
      <c r="G359"/>
      <c r="H359" s="361"/>
      <c r="I359" s="423"/>
      <c r="J359" s="363"/>
    </row>
    <row r="360" spans="1:10" ht="15">
      <c r="A360" s="363"/>
      <c r="B360" s="363"/>
      <c r="C360"/>
      <c r="D360" s="361"/>
      <c r="E360" s="423"/>
      <c r="F360" s="361"/>
      <c r="G360"/>
      <c r="H360" s="361"/>
      <c r="I360" s="423"/>
      <c r="J360" s="363"/>
    </row>
    <row r="361" spans="1:10" ht="15">
      <c r="A361" s="363"/>
      <c r="B361" s="363"/>
      <c r="C361"/>
      <c r="D361" s="361"/>
      <c r="E361" s="423"/>
      <c r="F361" s="361"/>
      <c r="G361"/>
      <c r="H361" s="361"/>
      <c r="I361" s="423"/>
      <c r="J361" s="363"/>
    </row>
    <row r="362" spans="1:10" ht="15">
      <c r="A362" s="363"/>
      <c r="B362" s="363"/>
      <c r="C362"/>
      <c r="D362" s="361"/>
      <c r="E362" s="423"/>
      <c r="F362" s="361"/>
      <c r="G362"/>
      <c r="H362" s="361"/>
      <c r="I362" s="423"/>
      <c r="J362" s="363"/>
    </row>
    <row r="363" spans="1:10" ht="15">
      <c r="A363" s="364"/>
      <c r="B363" s="365"/>
      <c r="C363" s="364"/>
      <c r="D363" s="361"/>
      <c r="E363" s="366"/>
      <c r="F363" s="361"/>
      <c r="G363" s="364"/>
      <c r="H363" s="361"/>
      <c r="I363" s="366"/>
      <c r="J363" s="363"/>
    </row>
    <row r="364" spans="1:10">
      <c r="A364" s="367"/>
      <c r="B364" s="367"/>
      <c r="C364" s="367"/>
      <c r="D364" s="367"/>
      <c r="E364" s="367"/>
      <c r="F364" s="367"/>
      <c r="G364" s="367"/>
      <c r="H364" s="367"/>
      <c r="I364" s="363"/>
      <c r="J364" s="363"/>
    </row>
    <row r="365" spans="1:10">
      <c r="A365" s="367"/>
      <c r="B365" s="367"/>
      <c r="C365" s="367"/>
      <c r="D365" s="367"/>
      <c r="E365" s="367"/>
      <c r="F365" s="367"/>
      <c r="G365" s="367"/>
      <c r="H365" s="367"/>
      <c r="I365" s="363"/>
      <c r="J365" s="363"/>
    </row>
    <row r="366" spans="1:10">
      <c r="A366" s="367"/>
      <c r="B366" s="367"/>
      <c r="C366" s="367"/>
      <c r="D366" s="367"/>
      <c r="E366" s="367"/>
      <c r="F366" s="367"/>
      <c r="G366" s="367"/>
      <c r="H366" s="367"/>
      <c r="I366" s="363"/>
      <c r="J366" s="363"/>
    </row>
    <row r="367" spans="1:10">
      <c r="A367" s="367"/>
      <c r="B367" s="367"/>
      <c r="C367" s="367"/>
      <c r="D367" s="367"/>
      <c r="E367" s="367"/>
      <c r="F367" s="367"/>
      <c r="G367" s="367"/>
      <c r="H367" s="367"/>
      <c r="I367" s="363"/>
      <c r="J367" s="363"/>
    </row>
    <row r="368" spans="1:10">
      <c r="A368" s="367"/>
      <c r="B368" s="367"/>
      <c r="C368" s="367"/>
      <c r="D368" s="367"/>
      <c r="E368" s="367"/>
      <c r="F368" s="367"/>
      <c r="G368" s="367"/>
      <c r="H368" s="367"/>
      <c r="I368" s="363"/>
      <c r="J368" s="363"/>
    </row>
    <row r="369" spans="1:10">
      <c r="A369" s="367"/>
      <c r="B369" s="367"/>
      <c r="C369" s="367"/>
      <c r="D369" s="367"/>
      <c r="E369" s="367"/>
      <c r="F369" s="367"/>
      <c r="G369" s="367"/>
      <c r="H369" s="367"/>
      <c r="I369" s="363"/>
      <c r="J369" s="363"/>
    </row>
    <row r="370" spans="1:10">
      <c r="A370" s="367"/>
      <c r="B370" s="367"/>
      <c r="C370" s="367"/>
      <c r="D370" s="367"/>
      <c r="E370" s="367"/>
      <c r="F370" s="367"/>
      <c r="G370" s="367"/>
      <c r="H370" s="367"/>
      <c r="I370" s="363"/>
      <c r="J370" s="363"/>
    </row>
    <row r="371" spans="1:10">
      <c r="A371" s="367"/>
      <c r="B371" s="367"/>
      <c r="C371" s="367"/>
      <c r="D371" s="367"/>
      <c r="E371" s="367"/>
      <c r="F371" s="367"/>
      <c r="G371" s="367"/>
      <c r="H371" s="367"/>
      <c r="I371" s="363"/>
      <c r="J371" s="363"/>
    </row>
    <row r="372" spans="1:10">
      <c r="A372" s="367"/>
      <c r="B372" s="367"/>
      <c r="C372" s="367"/>
      <c r="D372" s="367"/>
      <c r="E372" s="367"/>
      <c r="F372" s="367"/>
      <c r="G372" s="367"/>
      <c r="H372" s="367"/>
      <c r="I372" s="363"/>
      <c r="J372" s="363"/>
    </row>
    <row r="373" spans="1:10">
      <c r="A373" s="367"/>
      <c r="B373" s="367"/>
      <c r="C373" s="367"/>
      <c r="D373" s="367"/>
      <c r="E373" s="367"/>
      <c r="F373" s="367"/>
      <c r="G373" s="367"/>
      <c r="H373" s="367"/>
      <c r="I373" s="363"/>
      <c r="J373" s="363"/>
    </row>
    <row r="374" spans="1:10">
      <c r="A374" s="367"/>
      <c r="B374" s="367"/>
      <c r="C374" s="367"/>
      <c r="D374" s="367"/>
      <c r="E374" s="367"/>
      <c r="F374" s="367"/>
      <c r="G374" s="367"/>
      <c r="H374" s="367"/>
      <c r="I374" s="363"/>
      <c r="J374" s="363"/>
    </row>
    <row r="375" spans="1:10">
      <c r="A375" s="367"/>
      <c r="B375" s="367"/>
      <c r="C375" s="367"/>
      <c r="D375" s="367"/>
      <c r="E375" s="367"/>
      <c r="F375" s="367"/>
      <c r="G375" s="367"/>
      <c r="H375" s="367"/>
      <c r="I375" s="363"/>
      <c r="J375" s="363"/>
    </row>
    <row r="376" spans="1:10">
      <c r="A376" s="367"/>
      <c r="B376" s="367"/>
      <c r="C376" s="367"/>
      <c r="D376" s="367"/>
      <c r="E376" s="367"/>
      <c r="F376" s="367"/>
      <c r="G376" s="367"/>
      <c r="H376" s="367"/>
      <c r="I376" s="363"/>
      <c r="J376" s="363"/>
    </row>
    <row r="377" spans="1:10">
      <c r="A377" s="367"/>
      <c r="B377" s="367"/>
      <c r="C377" s="367"/>
      <c r="D377" s="367"/>
      <c r="E377" s="367"/>
      <c r="F377" s="367"/>
      <c r="G377" s="367"/>
      <c r="H377" s="367"/>
      <c r="I377" s="363"/>
      <c r="J377" s="363"/>
    </row>
    <row r="378" spans="1:10">
      <c r="A378" s="367"/>
      <c r="B378" s="367"/>
      <c r="C378" s="367"/>
      <c r="D378" s="367"/>
      <c r="E378" s="367"/>
      <c r="F378" s="367"/>
      <c r="G378" s="367"/>
      <c r="H378" s="367"/>
      <c r="I378" s="363"/>
      <c r="J378" s="363"/>
    </row>
    <row r="379" spans="1:10">
      <c r="A379" s="367"/>
      <c r="B379" s="367"/>
      <c r="C379" s="367"/>
      <c r="D379" s="367"/>
      <c r="E379" s="367"/>
      <c r="F379" s="367"/>
      <c r="G379" s="367"/>
      <c r="H379" s="367"/>
      <c r="I379" s="363"/>
      <c r="J379" s="363"/>
    </row>
    <row r="380" spans="1:10">
      <c r="A380" s="367"/>
      <c r="B380" s="367"/>
      <c r="C380" s="367"/>
      <c r="D380" s="367"/>
      <c r="E380" s="367"/>
      <c r="F380" s="367"/>
      <c r="G380" s="367"/>
      <c r="H380" s="367"/>
      <c r="I380" s="363"/>
      <c r="J380" s="363"/>
    </row>
    <row r="381" spans="1:10">
      <c r="A381" s="367"/>
      <c r="B381" s="367"/>
      <c r="C381" s="367"/>
      <c r="D381" s="367"/>
      <c r="E381" s="367"/>
      <c r="F381" s="367"/>
      <c r="G381" s="367"/>
      <c r="H381" s="367"/>
      <c r="I381" s="363"/>
      <c r="J381" s="363"/>
    </row>
    <row r="382" spans="1:10">
      <c r="A382" s="367"/>
      <c r="B382" s="367"/>
      <c r="C382" s="367"/>
      <c r="D382" s="367"/>
      <c r="E382" s="367"/>
      <c r="F382" s="367"/>
      <c r="G382" s="367"/>
      <c r="H382" s="367"/>
      <c r="I382" s="363"/>
      <c r="J382" s="363"/>
    </row>
    <row r="383" spans="1:10">
      <c r="A383" s="367"/>
      <c r="B383" s="367"/>
      <c r="C383" s="367"/>
      <c r="D383" s="367"/>
      <c r="E383" s="367"/>
      <c r="F383" s="367"/>
      <c r="G383" s="367"/>
      <c r="H383" s="367"/>
      <c r="I383" s="363"/>
      <c r="J383" s="363"/>
    </row>
    <row r="384" spans="1:10">
      <c r="A384" s="367"/>
      <c r="B384" s="367"/>
      <c r="C384" s="367"/>
      <c r="D384" s="367"/>
      <c r="E384" s="367"/>
      <c r="F384" s="367"/>
      <c r="G384" s="367"/>
      <c r="H384" s="367"/>
      <c r="I384" s="363"/>
      <c r="J384" s="363"/>
    </row>
    <row r="385" spans="1:10">
      <c r="A385" s="367"/>
      <c r="B385" s="367"/>
      <c r="C385" s="367"/>
      <c r="D385" s="367"/>
      <c r="E385" s="367"/>
      <c r="F385" s="367"/>
      <c r="G385" s="367"/>
      <c r="H385" s="367"/>
      <c r="I385" s="363"/>
      <c r="J385" s="363"/>
    </row>
    <row r="386" spans="1:10">
      <c r="A386" s="367"/>
      <c r="B386" s="367"/>
      <c r="C386" s="367"/>
      <c r="D386" s="367"/>
      <c r="E386" s="367"/>
      <c r="F386" s="367"/>
      <c r="G386" s="367"/>
      <c r="H386" s="367"/>
      <c r="I386" s="363"/>
      <c r="J386" s="363"/>
    </row>
    <row r="387" spans="1:10">
      <c r="A387" s="367"/>
      <c r="B387" s="367"/>
      <c r="C387" s="367"/>
      <c r="D387" s="367"/>
      <c r="E387" s="367"/>
      <c r="F387" s="367"/>
      <c r="G387" s="367"/>
      <c r="H387" s="367"/>
      <c r="I387" s="363"/>
      <c r="J387" s="363"/>
    </row>
    <row r="388" spans="1:10">
      <c r="A388" s="367"/>
      <c r="B388" s="367"/>
      <c r="C388" s="367"/>
      <c r="D388" s="367"/>
      <c r="E388" s="367"/>
      <c r="F388" s="367"/>
      <c r="G388" s="367"/>
      <c r="H388" s="367"/>
      <c r="I388" s="363"/>
      <c r="J388" s="363"/>
    </row>
  </sheetData>
  <sheetProtection password="CC7F" sheet="1" objects="1" scenarios="1"/>
  <phoneticPr fontId="2" type="noConversion"/>
  <dataValidations count="1">
    <dataValidation type="whole" operator="greaterThanOrEqual" showInputMessage="1" showErrorMessage="1" errorTitle="Invalid Data Entry" error="Please enter a positive number or press the delete key or enter zero." sqref="I14:I16 I20:I23 I36:I38 I42:I44">
      <formula1>0</formula1>
    </dataValidation>
  </dataValidations>
  <hyperlinks>
    <hyperlink ref="K1" location="Contents!A1" display="Return to Contents page"/>
  </hyperlinks>
  <printOptions horizontalCentered="1"/>
  <pageMargins left="0.5" right="0.5" top="1" bottom="1" header="0.5" footer="0.5"/>
  <pageSetup scale="89" orientation="portrait" blackAndWhite="1" horizontalDpi="4294967292" verticalDpi="4294967292"/>
  <headerFooter alignWithMargins="0">
    <oddFooter>&amp;L&amp;D     &amp;T</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I37"/>
  <sheetViews>
    <sheetView zoomScaleNormal="100" workbookViewId="0">
      <selection activeCell="D44" sqref="D44"/>
    </sheetView>
  </sheetViews>
  <sheetFormatPr defaultColWidth="8.85546875" defaultRowHeight="12.75"/>
  <cols>
    <col min="1" max="1" width="8.140625" style="368" customWidth="1"/>
    <col min="2" max="2" width="41.42578125" style="368" customWidth="1"/>
    <col min="3" max="3" width="13.42578125" style="368" customWidth="1"/>
    <col min="4" max="4" width="13" style="368" customWidth="1"/>
    <col min="5" max="5" width="12.42578125" style="368" customWidth="1"/>
    <col min="6" max="6" width="12.28515625" style="368" customWidth="1"/>
    <col min="7" max="7" width="12.140625" style="368" customWidth="1"/>
    <col min="8" max="8" width="3.140625" style="368" customWidth="1"/>
    <col min="9" max="9" width="21.42578125" style="368" customWidth="1"/>
    <col min="10" max="16384" width="8.85546875" style="368"/>
  </cols>
  <sheetData>
    <row r="1" spans="1:9">
      <c r="A1" s="368" t="s">
        <v>227</v>
      </c>
      <c r="I1" s="480" t="s">
        <v>268</v>
      </c>
    </row>
    <row r="2" spans="1:9" ht="13.5" thickBot="1">
      <c r="A2" s="369" t="s">
        <v>231</v>
      </c>
      <c r="B2" s="369"/>
      <c r="D2" s="370" t="s">
        <v>228</v>
      </c>
      <c r="E2" s="614">
        <f>[2]OPEN!$B$4</f>
        <v>395</v>
      </c>
    </row>
    <row r="3" spans="1:9">
      <c r="A3" s="369"/>
      <c r="B3" s="369"/>
      <c r="D3" s="370"/>
      <c r="E3" s="371"/>
      <c r="F3" s="406"/>
    </row>
    <row r="4" spans="1:9">
      <c r="A4" s="372"/>
      <c r="B4" s="373"/>
      <c r="C4" s="374"/>
      <c r="D4" s="375"/>
      <c r="E4" s="374"/>
      <c r="F4" s="374"/>
      <c r="G4" s="376"/>
    </row>
    <row r="5" spans="1:9">
      <c r="A5" s="377" t="s">
        <v>83</v>
      </c>
      <c r="B5" s="378"/>
      <c r="C5" s="378"/>
      <c r="D5" s="378"/>
      <c r="E5" s="378"/>
      <c r="F5" s="378"/>
      <c r="G5" s="379"/>
    </row>
    <row r="6" spans="1:9">
      <c r="A6" s="377"/>
      <c r="B6" s="378"/>
      <c r="C6" s="378"/>
      <c r="D6" s="378"/>
      <c r="E6" s="378"/>
      <c r="F6" s="378"/>
      <c r="G6" s="379"/>
    </row>
    <row r="7" spans="1:9">
      <c r="A7" s="380"/>
      <c r="B7" s="414"/>
      <c r="C7" s="380"/>
      <c r="D7" s="414"/>
      <c r="E7" s="380"/>
      <c r="F7" s="415" t="s">
        <v>388</v>
      </c>
      <c r="G7" s="416" t="s">
        <v>388</v>
      </c>
    </row>
    <row r="8" spans="1:9">
      <c r="A8" s="382"/>
      <c r="B8" s="410"/>
      <c r="C8" s="381" t="str">
        <f>[2]OPEN!$N$4</f>
        <v>2009-2010</v>
      </c>
      <c r="D8" s="411" t="str">
        <f>[2]OPEN!$O$4</f>
        <v>2010-2011</v>
      </c>
      <c r="E8" s="381" t="str">
        <f>[2]OPEN!$P$4</f>
        <v>2011-2012</v>
      </c>
      <c r="F8" s="412" t="str">
        <f>"9/20/"&amp;[2]OPEN!$Q$5</f>
        <v>9/20/2011</v>
      </c>
      <c r="G8" s="381" t="str">
        <f>[2]OPEN!$P$4</f>
        <v>2011-2012</v>
      </c>
    </row>
    <row r="9" spans="1:9">
      <c r="A9" s="382"/>
      <c r="B9" s="410"/>
      <c r="C9" s="381" t="s">
        <v>84</v>
      </c>
      <c r="D9" s="411" t="s">
        <v>84</v>
      </c>
      <c r="E9" s="381" t="s">
        <v>84</v>
      </c>
      <c r="F9" s="412" t="s">
        <v>84</v>
      </c>
      <c r="G9" s="381" t="s">
        <v>85</v>
      </c>
    </row>
    <row r="10" spans="1:9">
      <c r="A10" s="383" t="s">
        <v>86</v>
      </c>
      <c r="B10" s="413" t="s">
        <v>87</v>
      </c>
      <c r="C10" s="383" t="s">
        <v>85</v>
      </c>
      <c r="D10" s="413" t="s">
        <v>85</v>
      </c>
      <c r="E10" s="383" t="s">
        <v>88</v>
      </c>
      <c r="F10" s="413" t="s">
        <v>89</v>
      </c>
      <c r="G10" s="383" t="s">
        <v>230</v>
      </c>
    </row>
    <row r="11" spans="1:9">
      <c r="A11" s="407"/>
      <c r="B11" s="407"/>
      <c r="C11" s="408"/>
      <c r="D11" s="408"/>
      <c r="E11" s="408"/>
      <c r="F11" s="408"/>
      <c r="G11" s="409" t="str">
        <f t="shared" ref="G11:G37" si="0">IF(F11=0,"",E11/F11)</f>
        <v/>
      </c>
    </row>
    <row r="12" spans="1:9">
      <c r="A12" s="384"/>
      <c r="B12" s="384"/>
      <c r="C12" s="385"/>
      <c r="D12" s="385"/>
      <c r="E12" s="385"/>
      <c r="F12" s="385"/>
      <c r="G12" s="386" t="str">
        <f t="shared" si="0"/>
        <v/>
      </c>
    </row>
    <row r="13" spans="1:9">
      <c r="A13" s="384"/>
      <c r="B13" s="384"/>
      <c r="C13" s="385"/>
      <c r="D13" s="385"/>
      <c r="E13" s="385"/>
      <c r="F13" s="385"/>
      <c r="G13" s="386" t="str">
        <f t="shared" si="0"/>
        <v/>
      </c>
    </row>
    <row r="14" spans="1:9">
      <c r="A14" s="384"/>
      <c r="B14" s="384"/>
      <c r="C14" s="385"/>
      <c r="D14" s="385"/>
      <c r="E14" s="385"/>
      <c r="F14" s="385"/>
      <c r="G14" s="386" t="str">
        <f t="shared" si="0"/>
        <v/>
      </c>
    </row>
    <row r="15" spans="1:9">
      <c r="A15" s="384"/>
      <c r="B15" s="384"/>
      <c r="C15" s="385"/>
      <c r="D15" s="385"/>
      <c r="E15" s="385"/>
      <c r="F15" s="385"/>
      <c r="G15" s="386" t="str">
        <f t="shared" si="0"/>
        <v/>
      </c>
    </row>
    <row r="16" spans="1:9">
      <c r="A16" s="384"/>
      <c r="B16" s="384"/>
      <c r="C16" s="385"/>
      <c r="D16" s="385"/>
      <c r="E16" s="385"/>
      <c r="F16" s="385"/>
      <c r="G16" s="386" t="str">
        <f t="shared" si="0"/>
        <v/>
      </c>
    </row>
    <row r="17" spans="1:7">
      <c r="A17" s="384"/>
      <c r="B17" s="384"/>
      <c r="C17" s="385"/>
      <c r="D17" s="385"/>
      <c r="E17" s="385"/>
      <c r="F17" s="385"/>
      <c r="G17" s="386" t="str">
        <f t="shared" si="0"/>
        <v/>
      </c>
    </row>
    <row r="18" spans="1:7">
      <c r="A18" s="384"/>
      <c r="B18" s="384"/>
      <c r="C18" s="385"/>
      <c r="D18" s="385"/>
      <c r="E18" s="385"/>
      <c r="F18" s="385"/>
      <c r="G18" s="386" t="str">
        <f t="shared" si="0"/>
        <v/>
      </c>
    </row>
    <row r="19" spans="1:7">
      <c r="A19" s="384"/>
      <c r="B19" s="384"/>
      <c r="C19" s="385"/>
      <c r="D19" s="385"/>
      <c r="E19" s="385"/>
      <c r="F19" s="385"/>
      <c r="G19" s="386" t="str">
        <f t="shared" si="0"/>
        <v/>
      </c>
    </row>
    <row r="20" spans="1:7">
      <c r="A20" s="384"/>
      <c r="B20" s="384"/>
      <c r="C20" s="385"/>
      <c r="D20" s="385"/>
      <c r="E20" s="385"/>
      <c r="F20" s="385"/>
      <c r="G20" s="386" t="str">
        <f t="shared" si="0"/>
        <v/>
      </c>
    </row>
    <row r="21" spans="1:7">
      <c r="A21" s="384"/>
      <c r="B21" s="384"/>
      <c r="C21" s="385"/>
      <c r="D21" s="385"/>
      <c r="E21" s="385"/>
      <c r="F21" s="385"/>
      <c r="G21" s="386" t="str">
        <f t="shared" si="0"/>
        <v/>
      </c>
    </row>
    <row r="22" spans="1:7">
      <c r="A22" s="384"/>
      <c r="B22" s="384"/>
      <c r="C22" s="385"/>
      <c r="D22" s="385"/>
      <c r="E22" s="385"/>
      <c r="F22" s="385"/>
      <c r="G22" s="386" t="str">
        <f t="shared" si="0"/>
        <v/>
      </c>
    </row>
    <row r="23" spans="1:7">
      <c r="A23" s="384"/>
      <c r="B23" s="384"/>
      <c r="C23" s="385"/>
      <c r="D23" s="385"/>
      <c r="E23" s="385"/>
      <c r="F23" s="385"/>
      <c r="G23" s="386" t="str">
        <f t="shared" si="0"/>
        <v/>
      </c>
    </row>
    <row r="24" spans="1:7">
      <c r="A24" s="384"/>
      <c r="B24" s="384"/>
      <c r="C24" s="385"/>
      <c r="D24" s="385"/>
      <c r="E24" s="385"/>
      <c r="F24" s="385"/>
      <c r="G24" s="386" t="str">
        <f t="shared" si="0"/>
        <v/>
      </c>
    </row>
    <row r="25" spans="1:7">
      <c r="A25" s="384"/>
      <c r="B25" s="384"/>
      <c r="C25" s="385"/>
      <c r="D25" s="385"/>
      <c r="E25" s="385"/>
      <c r="F25" s="385"/>
      <c r="G25" s="386" t="str">
        <f t="shared" si="0"/>
        <v/>
      </c>
    </row>
    <row r="26" spans="1:7">
      <c r="A26" s="384"/>
      <c r="B26" s="384"/>
      <c r="C26" s="385"/>
      <c r="D26" s="385"/>
      <c r="E26" s="385"/>
      <c r="F26" s="385"/>
      <c r="G26" s="386" t="str">
        <f t="shared" si="0"/>
        <v/>
      </c>
    </row>
    <row r="27" spans="1:7">
      <c r="A27" s="384"/>
      <c r="B27" s="384"/>
      <c r="C27" s="385"/>
      <c r="D27" s="385"/>
      <c r="E27" s="385"/>
      <c r="F27" s="385"/>
      <c r="G27" s="386" t="str">
        <f t="shared" si="0"/>
        <v/>
      </c>
    </row>
    <row r="28" spans="1:7">
      <c r="A28" s="384"/>
      <c r="B28" s="384"/>
      <c r="C28" s="385"/>
      <c r="D28" s="385"/>
      <c r="E28" s="385"/>
      <c r="F28" s="385"/>
      <c r="G28" s="386" t="str">
        <f t="shared" si="0"/>
        <v/>
      </c>
    </row>
    <row r="29" spans="1:7">
      <c r="A29" s="384"/>
      <c r="B29" s="384"/>
      <c r="C29" s="385"/>
      <c r="D29" s="385"/>
      <c r="E29" s="385"/>
      <c r="F29" s="385"/>
      <c r="G29" s="386" t="str">
        <f t="shared" si="0"/>
        <v/>
      </c>
    </row>
    <row r="30" spans="1:7">
      <c r="A30" s="384"/>
      <c r="B30" s="384"/>
      <c r="C30" s="385"/>
      <c r="D30" s="385"/>
      <c r="E30" s="385"/>
      <c r="F30" s="385"/>
      <c r="G30" s="386" t="str">
        <f t="shared" si="0"/>
        <v/>
      </c>
    </row>
    <row r="31" spans="1:7">
      <c r="A31" s="384"/>
      <c r="B31" s="384"/>
      <c r="C31" s="385"/>
      <c r="D31" s="385"/>
      <c r="E31" s="385"/>
      <c r="F31" s="385"/>
      <c r="G31" s="386" t="str">
        <f t="shared" si="0"/>
        <v/>
      </c>
    </row>
    <row r="32" spans="1:7">
      <c r="A32" s="384"/>
      <c r="B32" s="384"/>
      <c r="C32" s="385"/>
      <c r="D32" s="385"/>
      <c r="E32" s="385"/>
      <c r="F32" s="385"/>
      <c r="G32" s="386" t="str">
        <f t="shared" si="0"/>
        <v/>
      </c>
    </row>
    <row r="33" spans="1:7">
      <c r="A33" s="384"/>
      <c r="B33" s="384"/>
      <c r="C33" s="385"/>
      <c r="D33" s="385"/>
      <c r="E33" s="385"/>
      <c r="F33" s="385"/>
      <c r="G33" s="386" t="str">
        <f t="shared" si="0"/>
        <v/>
      </c>
    </row>
    <row r="34" spans="1:7">
      <c r="A34" s="384"/>
      <c r="B34" s="384"/>
      <c r="C34" s="385"/>
      <c r="D34" s="385"/>
      <c r="E34" s="385"/>
      <c r="F34" s="385"/>
      <c r="G34" s="386" t="str">
        <f t="shared" si="0"/>
        <v/>
      </c>
    </row>
    <row r="35" spans="1:7">
      <c r="A35" s="384"/>
      <c r="B35" s="384"/>
      <c r="C35" s="385"/>
      <c r="D35" s="385"/>
      <c r="E35" s="385"/>
      <c r="F35" s="385"/>
      <c r="G35" s="386" t="str">
        <f t="shared" si="0"/>
        <v/>
      </c>
    </row>
    <row r="36" spans="1:7">
      <c r="A36" s="384"/>
      <c r="B36" s="384"/>
      <c r="C36" s="385"/>
      <c r="D36" s="385"/>
      <c r="E36" s="385"/>
      <c r="F36" s="385"/>
      <c r="G36" s="386" t="str">
        <f t="shared" si="0"/>
        <v/>
      </c>
    </row>
    <row r="37" spans="1:7">
      <c r="A37" s="384"/>
      <c r="B37" s="384"/>
      <c r="C37" s="385"/>
      <c r="D37" s="385"/>
      <c r="E37" s="385"/>
      <c r="F37" s="385"/>
      <c r="G37" s="386" t="str">
        <f t="shared" si="0"/>
        <v/>
      </c>
    </row>
  </sheetData>
  <sheetProtection password="CC43" sheet="1" objects="1" scenarios="1"/>
  <phoneticPr fontId="0" type="noConversion"/>
  <hyperlinks>
    <hyperlink ref="I1" location="Contents!A1" display="Return to Contents page"/>
  </hyperlinks>
  <printOptions horizontalCentered="1"/>
  <pageMargins left="0.75" right="0.75" top="1" bottom="1" header="0.5" footer="0.5"/>
  <pageSetup orientation="landscape" blackAndWhite="1" horizontalDpi="4294967292" verticalDpi="4294967292"/>
  <headerFooter alignWithMargins="0">
    <oddFooter>&amp;L&amp;"Geneva,Regular"&amp;D     &amp;T &amp;CForm 250&amp;RPage &amp;P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58"/>
  <sheetViews>
    <sheetView topLeftCell="A7" workbookViewId="0">
      <selection activeCell="E41" sqref="E41"/>
    </sheetView>
  </sheetViews>
  <sheetFormatPr defaultColWidth="10.7109375" defaultRowHeight="14.25"/>
  <cols>
    <col min="1" max="1" width="25.7109375" style="389" customWidth="1"/>
    <col min="2" max="2" width="9.140625" style="389" customWidth="1"/>
    <col min="3" max="3" width="17" style="389" customWidth="1"/>
    <col min="4" max="4" width="16.42578125" style="389" customWidth="1"/>
    <col min="5" max="5" width="19.28515625" style="389" customWidth="1"/>
    <col min="6" max="6" width="9.140625" style="389" customWidth="1"/>
    <col min="7" max="7" width="4.85546875" style="389" customWidth="1"/>
    <col min="8" max="8" width="2.7109375" style="389" customWidth="1"/>
    <col min="9" max="9" width="20.85546875" style="389" customWidth="1"/>
    <col min="10" max="16384" width="10.7109375" style="389"/>
  </cols>
  <sheetData>
    <row r="1" spans="1:9">
      <c r="A1" s="387" t="s">
        <v>361</v>
      </c>
      <c r="B1" s="388">
        <f>[2]OPEN!$B$4</f>
        <v>395</v>
      </c>
      <c r="C1" s="388"/>
      <c r="D1" s="388"/>
      <c r="E1" s="387" t="s">
        <v>232</v>
      </c>
      <c r="H1" s="480"/>
      <c r="I1" s="480" t="s">
        <v>268</v>
      </c>
    </row>
    <row r="2" spans="1:9">
      <c r="A2" s="388"/>
      <c r="B2" s="388"/>
      <c r="C2" s="388"/>
      <c r="D2" s="388"/>
      <c r="E2" s="387" t="s">
        <v>459</v>
      </c>
    </row>
    <row r="3" spans="1:9">
      <c r="A3" s="388"/>
      <c r="B3" s="388"/>
      <c r="C3" s="388"/>
      <c r="D3" s="388"/>
      <c r="E3" s="387" t="str">
        <f>[2]OPEN!$P$4</f>
        <v>2011-2012</v>
      </c>
    </row>
    <row r="4" spans="1:9">
      <c r="A4" s="390" t="s">
        <v>233</v>
      </c>
      <c r="B4" s="390"/>
      <c r="C4" s="390"/>
      <c r="D4" s="390"/>
      <c r="E4" s="390"/>
    </row>
    <row r="5" spans="1:9" ht="6.75" customHeight="1">
      <c r="A5" s="388"/>
      <c r="B5" s="388"/>
      <c r="C5" s="388"/>
      <c r="D5" s="388"/>
      <c r="E5" s="388"/>
    </row>
    <row r="6" spans="1:9">
      <c r="A6" s="388" t="s">
        <v>234</v>
      </c>
      <c r="B6" s="388"/>
      <c r="C6" s="388"/>
      <c r="D6" s="388"/>
      <c r="E6" s="388"/>
    </row>
    <row r="7" spans="1:9">
      <c r="A7" s="388" t="s">
        <v>101</v>
      </c>
      <c r="B7" s="388"/>
      <c r="C7" s="388"/>
      <c r="D7" s="388"/>
      <c r="E7" s="388"/>
    </row>
    <row r="8" spans="1:9" ht="12" customHeight="1">
      <c r="A8" s="388"/>
      <c r="B8" s="388"/>
      <c r="C8" s="388"/>
      <c r="D8" s="388"/>
      <c r="E8" s="388"/>
    </row>
    <row r="9" spans="1:9">
      <c r="A9" s="388" t="s">
        <v>553</v>
      </c>
      <c r="B9" s="388"/>
      <c r="C9" s="388"/>
      <c r="D9" s="388"/>
      <c r="E9" s="388"/>
    </row>
    <row r="10" spans="1:9">
      <c r="A10" s="388" t="s">
        <v>465</v>
      </c>
      <c r="B10" s="388"/>
      <c r="C10" s="388"/>
      <c r="D10" s="388"/>
      <c r="E10" s="388"/>
    </row>
    <row r="11" spans="1:9" ht="12.75" customHeight="1">
      <c r="A11" s="390"/>
      <c r="B11" s="390"/>
      <c r="C11" s="390"/>
      <c r="D11" s="390"/>
      <c r="E11" s="390"/>
    </row>
    <row r="12" spans="1:9">
      <c r="A12" s="390" t="s">
        <v>102</v>
      </c>
      <c r="B12" s="390"/>
      <c r="C12" s="390"/>
      <c r="D12" s="390"/>
      <c r="E12" s="390"/>
    </row>
    <row r="13" spans="1:9" ht="6.75" customHeight="1">
      <c r="A13" s="388"/>
      <c r="B13" s="388"/>
      <c r="C13" s="388"/>
      <c r="D13" s="388"/>
      <c r="E13" s="388"/>
    </row>
    <row r="14" spans="1:9">
      <c r="A14" s="391" t="str">
        <f>"1.  Publish the Notice of Hearing on Amending the "&amp;[2]OPEN!$N$42&amp;" Budget, see form below.  Include only those funds being"</f>
        <v>1.  Publish the Notice of Hearing on Amending the 2011-12 Budget, see form below.  Include only those funds being</v>
      </c>
      <c r="B14" s="388"/>
      <c r="C14" s="388"/>
      <c r="D14" s="388"/>
      <c r="E14" s="388"/>
    </row>
    <row r="15" spans="1:9">
      <c r="A15" s="388" t="s">
        <v>103</v>
      </c>
      <c r="B15" s="388"/>
      <c r="C15" s="388"/>
      <c r="D15" s="388"/>
      <c r="E15" s="388"/>
    </row>
    <row r="16" spans="1:9">
      <c r="A16" s="388" t="s">
        <v>107</v>
      </c>
      <c r="B16" s="388"/>
      <c r="C16" s="388"/>
      <c r="D16" s="388"/>
      <c r="E16" s="388"/>
    </row>
    <row r="17" spans="1:6">
      <c r="A17" s="388" t="s">
        <v>551</v>
      </c>
      <c r="B17" s="388"/>
      <c r="C17" s="388"/>
      <c r="D17" s="388"/>
      <c r="E17" s="388"/>
    </row>
    <row r="18" spans="1:6">
      <c r="A18" s="388" t="s">
        <v>552</v>
      </c>
      <c r="B18" s="388"/>
      <c r="C18" s="388"/>
      <c r="D18" s="388"/>
      <c r="E18" s="388"/>
    </row>
    <row r="19" spans="1:6">
      <c r="A19" s="388" t="s">
        <v>528</v>
      </c>
      <c r="B19" s="388"/>
      <c r="C19" s="388"/>
      <c r="D19" s="388"/>
      <c r="E19" s="388"/>
    </row>
    <row r="20" spans="1:6">
      <c r="A20" s="388" t="s">
        <v>458</v>
      </c>
      <c r="B20" s="388"/>
      <c r="C20" s="388"/>
      <c r="D20" s="388"/>
      <c r="E20" s="388"/>
    </row>
    <row r="21" spans="1:6" ht="12.75" customHeight="1">
      <c r="A21" s="583" t="s">
        <v>529</v>
      </c>
      <c r="B21" s="388"/>
      <c r="C21" s="388"/>
      <c r="D21" s="388"/>
      <c r="E21" s="388"/>
    </row>
    <row r="22" spans="1:6" ht="12.75" customHeight="1">
      <c r="A22" s="583" t="s">
        <v>530</v>
      </c>
      <c r="B22" s="388"/>
      <c r="C22" s="388"/>
      <c r="D22" s="388"/>
      <c r="E22" s="388"/>
    </row>
    <row r="23" spans="1:6" ht="20.100000000000001" customHeight="1">
      <c r="A23" s="388" t="s">
        <v>242</v>
      </c>
      <c r="B23" s="388"/>
      <c r="C23" s="388"/>
      <c r="D23" s="388"/>
      <c r="E23" s="388"/>
    </row>
    <row r="24" spans="1:6">
      <c r="A24" s="388" t="s">
        <v>526</v>
      </c>
      <c r="B24" s="388"/>
      <c r="C24" s="388"/>
      <c r="D24" s="388"/>
      <c r="E24" s="388"/>
    </row>
    <row r="25" spans="1:6">
      <c r="A25" s="388" t="s">
        <v>527</v>
      </c>
      <c r="B25" s="388"/>
      <c r="C25" s="388"/>
      <c r="D25" s="388"/>
      <c r="E25" s="388"/>
    </row>
    <row r="26" spans="1:6" ht="12.75" customHeight="1">
      <c r="A26" s="388"/>
      <c r="B26" s="388"/>
      <c r="C26" s="388"/>
      <c r="D26" s="388"/>
      <c r="E26" s="388"/>
    </row>
    <row r="27" spans="1:6">
      <c r="A27" s="802" t="s">
        <v>243</v>
      </c>
      <c r="B27" s="802"/>
      <c r="C27" s="802"/>
      <c r="D27" s="802"/>
      <c r="E27" s="802"/>
      <c r="F27" s="802"/>
    </row>
    <row r="28" spans="1:6">
      <c r="A28" s="803" t="str">
        <f>"AMENDING THE "&amp;[2]OPEN!$N$42&amp;" BUDGET"</f>
        <v>AMENDING THE 2011-12 BUDGET</v>
      </c>
      <c r="B28" s="803"/>
      <c r="C28" s="803"/>
      <c r="D28" s="803"/>
      <c r="E28" s="803"/>
      <c r="F28" s="803"/>
    </row>
    <row r="29" spans="1:6" ht="14.25" customHeight="1">
      <c r="A29" s="392"/>
      <c r="B29" s="392"/>
      <c r="C29" s="392"/>
      <c r="D29" s="392"/>
      <c r="E29" s="392"/>
    </row>
    <row r="30" spans="1:6" ht="14.25" customHeight="1">
      <c r="A30" s="804" t="str">
        <f>"The governing body of " &amp; Headings!$B$18 &amp; " will meet on the " &amp; Headings!$B$19 &amp; " day of"</f>
        <v>The governing body of Unified School District 395 will meet on the  day of</v>
      </c>
      <c r="B30" s="804"/>
      <c r="C30" s="804"/>
      <c r="D30" s="804"/>
      <c r="E30" s="804"/>
      <c r="F30" s="804"/>
    </row>
    <row r="31" spans="1:6" ht="14.25" customHeight="1">
      <c r="A31" s="804" t="str">
        <f>Headings!$B$20 &amp; ", " &amp;Headings!$B$22 &amp; " at " &amp; Headings!$B$21 &amp; ", at " &amp; Headings!$B$23 &amp; " for the purpose of"</f>
        <v>,  at , at  for the purpose of</v>
      </c>
      <c r="B31" s="804"/>
      <c r="C31" s="804"/>
      <c r="D31" s="804"/>
      <c r="E31" s="804"/>
      <c r="F31" s="804"/>
    </row>
    <row r="32" spans="1:6" ht="14.25" customHeight="1">
      <c r="A32" s="804" t="s">
        <v>454</v>
      </c>
      <c r="B32" s="804"/>
      <c r="C32" s="804"/>
      <c r="D32" s="804"/>
      <c r="E32" s="804"/>
      <c r="F32" s="804"/>
    </row>
    <row r="33" spans="1:6" ht="14.25" customHeight="1">
      <c r="A33" s="720"/>
      <c r="B33" s="720"/>
      <c r="C33" s="720"/>
      <c r="D33" s="720"/>
      <c r="E33" s="720"/>
      <c r="F33" s="720"/>
    </row>
    <row r="34" spans="1:6" ht="30.75" customHeight="1">
      <c r="A34" s="801" t="str">
        <f>"Detailed budget information is available at " &amp; Headings!B24 &amp; " and will be available at this hearing."</f>
        <v>Detailed budget information is available at  and will be available at this hearing.</v>
      </c>
      <c r="B34" s="801"/>
      <c r="C34" s="801"/>
      <c r="D34" s="801"/>
      <c r="E34" s="801"/>
      <c r="F34" s="801"/>
    </row>
    <row r="35" spans="1:6" ht="6" customHeight="1">
      <c r="A35" s="584"/>
      <c r="B35" s="392"/>
      <c r="C35" s="392"/>
      <c r="D35" s="392"/>
      <c r="E35" s="392"/>
    </row>
    <row r="36" spans="1:6">
      <c r="A36" s="802" t="s">
        <v>244</v>
      </c>
      <c r="B36" s="802"/>
      <c r="C36" s="802"/>
      <c r="D36" s="802"/>
      <c r="E36" s="802"/>
      <c r="F36" s="802"/>
    </row>
    <row r="37" spans="1:6" ht="6" customHeight="1">
      <c r="A37" s="388"/>
      <c r="B37" s="388"/>
      <c r="C37" s="388"/>
      <c r="D37" s="388"/>
      <c r="E37" s="388"/>
    </row>
    <row r="38" spans="1:6">
      <c r="A38" s="388"/>
      <c r="B38" s="394" t="s">
        <v>245</v>
      </c>
      <c r="C38" s="395"/>
      <c r="D38" s="396"/>
      <c r="E38" s="396" t="s">
        <v>246</v>
      </c>
    </row>
    <row r="39" spans="1:6">
      <c r="A39" s="388"/>
      <c r="B39" s="397" t="str">
        <f>[2]OPEN!$N$42</f>
        <v>2011-12</v>
      </c>
      <c r="C39" s="393"/>
      <c r="D39" s="398"/>
      <c r="E39" s="398" t="str">
        <f>[2]OPEN!$N$42&amp;"  Budget"</f>
        <v>2011-12  Budget</v>
      </c>
    </row>
    <row r="40" spans="1:6">
      <c r="A40" s="388"/>
      <c r="B40" s="399" t="s">
        <v>255</v>
      </c>
      <c r="C40" s="399" t="s">
        <v>247</v>
      </c>
      <c r="D40" s="399" t="s">
        <v>85</v>
      </c>
      <c r="E40" s="399" t="s">
        <v>85</v>
      </c>
    </row>
    <row r="41" spans="1:6">
      <c r="A41" s="388"/>
      <c r="B41" s="400" t="s">
        <v>248</v>
      </c>
      <c r="C41" s="400" t="s">
        <v>249</v>
      </c>
      <c r="D41" s="400" t="s">
        <v>250</v>
      </c>
      <c r="E41" s="400" t="s">
        <v>250</v>
      </c>
    </row>
    <row r="42" spans="1:6">
      <c r="A42" s="392" t="s">
        <v>284</v>
      </c>
      <c r="B42" s="401" t="s">
        <v>251</v>
      </c>
      <c r="C42" s="401" t="s">
        <v>252</v>
      </c>
      <c r="D42" s="401" t="s">
        <v>253</v>
      </c>
      <c r="E42" s="401" t="s">
        <v>253</v>
      </c>
    </row>
    <row r="43" spans="1:6">
      <c r="A43" s="402"/>
      <c r="B43" s="403"/>
      <c r="C43" s="404"/>
      <c r="D43" s="404"/>
      <c r="E43" s="404"/>
    </row>
    <row r="44" spans="1:6">
      <c r="A44" s="402"/>
      <c r="B44" s="403"/>
      <c r="C44" s="404"/>
      <c r="D44" s="404"/>
      <c r="E44" s="404"/>
    </row>
    <row r="45" spans="1:6">
      <c r="A45" s="402"/>
      <c r="B45" s="403"/>
      <c r="C45" s="404"/>
      <c r="D45" s="404"/>
      <c r="E45" s="404"/>
    </row>
    <row r="46" spans="1:6">
      <c r="A46" s="402"/>
      <c r="B46" s="403"/>
      <c r="C46" s="404"/>
      <c r="D46" s="404"/>
      <c r="E46" s="404"/>
    </row>
    <row r="47" spans="1:6">
      <c r="A47" s="402"/>
      <c r="B47" s="403"/>
      <c r="C47" s="404"/>
      <c r="D47" s="404"/>
      <c r="E47" s="404"/>
    </row>
    <row r="48" spans="1:6">
      <c r="A48" s="402"/>
      <c r="B48" s="403"/>
      <c r="C48" s="404"/>
      <c r="D48" s="404"/>
      <c r="E48" s="404"/>
    </row>
    <row r="49" spans="1:6">
      <c r="A49" s="402"/>
      <c r="B49" s="403"/>
      <c r="C49" s="404"/>
      <c r="D49" s="404"/>
      <c r="E49" s="404"/>
    </row>
    <row r="50" spans="1:6">
      <c r="A50" s="402"/>
      <c r="B50" s="403"/>
      <c r="C50" s="404"/>
      <c r="D50" s="404"/>
      <c r="E50" s="404"/>
    </row>
    <row r="51" spans="1:6">
      <c r="A51" s="402"/>
      <c r="B51" s="403"/>
      <c r="C51" s="404"/>
      <c r="D51" s="404"/>
      <c r="E51" s="404"/>
    </row>
    <row r="52" spans="1:6">
      <c r="A52" s="402"/>
      <c r="B52" s="403"/>
      <c r="C52" s="404"/>
      <c r="D52" s="404"/>
      <c r="E52" s="404"/>
    </row>
    <row r="53" spans="1:6" ht="6" customHeight="1">
      <c r="A53" s="391"/>
      <c r="B53" s="388"/>
      <c r="C53" s="388"/>
      <c r="D53" s="388"/>
      <c r="E53" s="388"/>
    </row>
    <row r="54" spans="1:6">
      <c r="A54" s="587"/>
      <c r="B54" s="388"/>
      <c r="C54" s="388"/>
      <c r="D54" s="388"/>
      <c r="E54" s="585"/>
      <c r="F54" s="586"/>
    </row>
    <row r="55" spans="1:6">
      <c r="A55" s="392"/>
      <c r="B55" s="388"/>
      <c r="C55" s="388"/>
      <c r="D55" s="388"/>
      <c r="E55" s="388"/>
      <c r="F55" s="583" t="s">
        <v>254</v>
      </c>
    </row>
    <row r="56" spans="1:6" ht="8.25" customHeight="1">
      <c r="A56" s="388"/>
      <c r="B56" s="388"/>
      <c r="C56" s="388"/>
      <c r="D56" s="388"/>
      <c r="E56" s="388"/>
    </row>
    <row r="57" spans="1:6">
      <c r="A57" s="582" t="s">
        <v>455</v>
      </c>
      <c r="B57" s="388"/>
      <c r="C57" s="388"/>
      <c r="D57" s="388"/>
      <c r="E57" s="388"/>
    </row>
    <row r="58" spans="1:6">
      <c r="A58" s="582"/>
      <c r="B58" s="388"/>
      <c r="C58" s="388"/>
      <c r="D58" s="388"/>
      <c r="E58" s="388"/>
    </row>
  </sheetData>
  <sheetProtection sheet="1" objects="1" scenarios="1"/>
  <mergeCells count="7">
    <mergeCell ref="A34:F34"/>
    <mergeCell ref="A27:F27"/>
    <mergeCell ref="A28:F28"/>
    <mergeCell ref="A36:F36"/>
    <mergeCell ref="A30:F30"/>
    <mergeCell ref="A31:F31"/>
    <mergeCell ref="A32:F32"/>
  </mergeCells>
  <phoneticPr fontId="2" type="noConversion"/>
  <hyperlinks>
    <hyperlink ref="I1" location="Contents!A1" display="Return to Contents page"/>
  </hyperlinks>
  <printOptions horizontalCentered="1"/>
  <pageMargins left="0.25" right="0.25" top="0.94" bottom="0.19" header="0.5" footer="0.5"/>
  <pageSetup scale="90" orientation="portrait" blackAndWhite="1" horizontalDpi="4294967292" verticalDpi="4294967292"/>
  <headerFooter alignWithMargins="0">
    <oddFooter xml:space="preserve">&amp;L&amp;D  &amp;T &amp;R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H61"/>
  <sheetViews>
    <sheetView zoomScaleNormal="100" workbookViewId="0">
      <selection activeCell="J10" sqref="J10"/>
    </sheetView>
  </sheetViews>
  <sheetFormatPr defaultRowHeight="12.75"/>
  <cols>
    <col min="1" max="1" width="28.42578125" style="652" customWidth="1"/>
    <col min="2" max="2" width="7.140625" style="652" customWidth="1"/>
    <col min="3" max="3" width="15.140625" style="652" customWidth="1"/>
    <col min="4" max="4" width="15" style="652" customWidth="1"/>
    <col min="5" max="5" width="15.85546875" style="652" customWidth="1"/>
    <col min="6" max="6" width="3.28515625" style="652" customWidth="1"/>
    <col min="7" max="16384" width="9.140625" style="652"/>
  </cols>
  <sheetData>
    <row r="1" spans="1:8">
      <c r="A1" s="678" t="s">
        <v>232</v>
      </c>
      <c r="B1" s="678"/>
      <c r="C1" s="679"/>
      <c r="D1" s="775" t="s">
        <v>361</v>
      </c>
      <c r="E1" s="719">
        <f>[2]OPEN!$B$4</f>
        <v>395</v>
      </c>
      <c r="F1" s="679"/>
      <c r="G1" s="480" t="s">
        <v>268</v>
      </c>
      <c r="H1" s="679"/>
    </row>
    <row r="2" spans="1:8">
      <c r="A2" s="678" t="str">
        <f>"Budget " &amp; [2]OPEN!P14</f>
        <v>Budget 2011-12</v>
      </c>
      <c r="B2" s="678"/>
      <c r="C2" s="679"/>
      <c r="D2" s="679"/>
      <c r="E2" s="679"/>
      <c r="F2" s="679"/>
      <c r="G2" s="679"/>
      <c r="H2" s="679"/>
    </row>
    <row r="3" spans="1:8" ht="6.75" customHeight="1">
      <c r="A3" s="678"/>
      <c r="B3" s="678"/>
      <c r="C3" s="679"/>
      <c r="D3" s="679"/>
      <c r="E3" s="679"/>
      <c r="F3" s="679"/>
      <c r="G3" s="679"/>
      <c r="H3" s="679"/>
    </row>
    <row r="4" spans="1:8">
      <c r="A4" s="805" t="s">
        <v>617</v>
      </c>
      <c r="B4" s="805"/>
      <c r="C4" s="805"/>
      <c r="D4" s="805"/>
      <c r="E4" s="805"/>
      <c r="F4" s="679"/>
      <c r="G4" s="679"/>
      <c r="H4" s="679"/>
    </row>
    <row r="5" spans="1:8">
      <c r="A5" s="679"/>
      <c r="B5" s="679"/>
      <c r="C5" s="679"/>
      <c r="D5" s="679"/>
      <c r="E5" s="679"/>
      <c r="F5" s="679"/>
      <c r="G5" s="679"/>
      <c r="H5" s="679"/>
    </row>
    <row r="6" spans="1:8">
      <c r="A6" s="679" t="s">
        <v>618</v>
      </c>
      <c r="B6" s="695" t="s">
        <v>619</v>
      </c>
      <c r="C6" s="680" t="str">
        <f>[2]OPEN!N17</f>
        <v>July 1, 2009</v>
      </c>
      <c r="D6" s="680" t="str">
        <f>[2]OPEN!O17</f>
        <v>July 1, 2010</v>
      </c>
      <c r="E6" s="680" t="str">
        <f>[2]OPEN!P17</f>
        <v>July 1, 2011</v>
      </c>
      <c r="F6" s="679"/>
      <c r="G6" s="679"/>
      <c r="H6" s="679"/>
    </row>
    <row r="7" spans="1:8">
      <c r="A7" s="681" t="s">
        <v>280</v>
      </c>
      <c r="B7" s="682">
        <v>6</v>
      </c>
      <c r="C7" s="683">
        <f>[2]C06!C9</f>
        <v>70</v>
      </c>
      <c r="D7" s="684">
        <f>IF(ISERROR([2]C06!D9),0,[2]C06!D9)</f>
        <v>61</v>
      </c>
      <c r="E7" s="684">
        <f>IF(ISERROR([2]C06!E9),0,[2]C06!E9)</f>
        <v>42</v>
      </c>
      <c r="F7" s="679"/>
      <c r="G7" s="679"/>
      <c r="H7" s="679"/>
    </row>
    <row r="8" spans="1:8">
      <c r="A8" s="681" t="s">
        <v>620</v>
      </c>
      <c r="B8" s="682">
        <v>7</v>
      </c>
      <c r="C8" s="683">
        <f>[2]C07!C9</f>
        <v>0</v>
      </c>
      <c r="D8" s="683">
        <f>[2]C07!D9</f>
        <v>729</v>
      </c>
      <c r="E8" s="683">
        <f>[2]C07!E9</f>
        <v>1250</v>
      </c>
      <c r="F8" s="679"/>
      <c r="G8" s="679"/>
      <c r="H8" s="679"/>
    </row>
    <row r="9" spans="1:8">
      <c r="A9" s="681" t="s">
        <v>621</v>
      </c>
      <c r="B9" s="682">
        <v>8</v>
      </c>
      <c r="C9" s="683">
        <f>[2]C08!C9</f>
        <v>13835</v>
      </c>
      <c r="D9" s="684">
        <f>IF(ISERROR([2]C08!D9),0,[2]C08!D9)</f>
        <v>11308</v>
      </c>
      <c r="E9" s="684">
        <f>IF(ISERROR([2]C08!E9),0,[2]C08!E9)</f>
        <v>6840</v>
      </c>
      <c r="F9" s="679"/>
      <c r="G9" s="679"/>
      <c r="H9" s="679"/>
    </row>
    <row r="10" spans="1:8">
      <c r="A10" s="685" t="s">
        <v>173</v>
      </c>
      <c r="B10" s="686">
        <v>10</v>
      </c>
      <c r="C10" s="683">
        <f>[2]C010!C9</f>
        <v>0</v>
      </c>
      <c r="D10" s="683">
        <f>[2]C010!D9</f>
        <v>0</v>
      </c>
      <c r="E10" s="683">
        <f>[2]C010!E9</f>
        <v>0</v>
      </c>
      <c r="F10" s="679"/>
      <c r="G10" s="679"/>
      <c r="H10" s="679"/>
    </row>
    <row r="11" spans="1:8">
      <c r="A11" s="681" t="s">
        <v>622</v>
      </c>
      <c r="B11" s="682">
        <v>11</v>
      </c>
      <c r="C11" s="683">
        <f>[2]C011!C9</f>
        <v>0</v>
      </c>
      <c r="D11" s="683">
        <f>[2]C011!D9</f>
        <v>0</v>
      </c>
      <c r="E11" s="683">
        <f>[2]C011!E9</f>
        <v>0</v>
      </c>
      <c r="F11" s="679"/>
      <c r="G11" s="679"/>
      <c r="H11" s="679"/>
    </row>
    <row r="12" spans="1:8">
      <c r="A12" s="685" t="s">
        <v>531</v>
      </c>
      <c r="B12" s="686">
        <v>12</v>
      </c>
      <c r="C12" s="683">
        <f>[2]C012!C9</f>
        <v>0</v>
      </c>
      <c r="D12" s="683">
        <f>[2]C012!D9</f>
        <v>0</v>
      </c>
      <c r="E12" s="683">
        <f>[2]C012!E9</f>
        <v>0</v>
      </c>
      <c r="F12" s="679"/>
      <c r="G12" s="679"/>
      <c r="H12" s="679"/>
    </row>
    <row r="13" spans="1:8">
      <c r="A13" s="681" t="s">
        <v>532</v>
      </c>
      <c r="B13" s="682">
        <v>13</v>
      </c>
      <c r="C13" s="683">
        <f>[2]C013!C9</f>
        <v>0</v>
      </c>
      <c r="D13" s="683">
        <f>[2]C013!D9</f>
        <v>1</v>
      </c>
      <c r="E13" s="683">
        <f>[2]C013!E9</f>
        <v>1</v>
      </c>
      <c r="F13" s="687"/>
      <c r="G13" s="679"/>
      <c r="H13" s="679"/>
    </row>
    <row r="14" spans="1:8">
      <c r="A14" s="681" t="s">
        <v>505</v>
      </c>
      <c r="B14" s="682">
        <v>14</v>
      </c>
      <c r="C14" s="683">
        <f>[2]C014!C9</f>
        <v>0</v>
      </c>
      <c r="D14" s="683">
        <f>[2]C014!D9</f>
        <v>0</v>
      </c>
      <c r="E14" s="683">
        <f>[2]C014!E9</f>
        <v>0</v>
      </c>
      <c r="F14" s="679"/>
      <c r="G14" s="679"/>
      <c r="H14" s="679"/>
    </row>
    <row r="15" spans="1:8">
      <c r="A15" s="681" t="s">
        <v>533</v>
      </c>
      <c r="B15" s="682">
        <v>15</v>
      </c>
      <c r="C15" s="683">
        <f>[2]C015!C9</f>
        <v>0</v>
      </c>
      <c r="D15" s="683">
        <f>[2]C015!D9</f>
        <v>0</v>
      </c>
      <c r="E15" s="683">
        <f>[2]C015!E9</f>
        <v>0</v>
      </c>
      <c r="F15" s="679"/>
      <c r="G15" s="679"/>
      <c r="H15" s="679"/>
    </row>
    <row r="16" spans="1:8">
      <c r="A16" s="681" t="s">
        <v>174</v>
      </c>
      <c r="B16" s="682">
        <v>16</v>
      </c>
      <c r="C16" s="683">
        <f>[2]C016!C9</f>
        <v>663397</v>
      </c>
      <c r="D16" s="683">
        <f>[2]C016!D9</f>
        <v>694048</v>
      </c>
      <c r="E16" s="683">
        <f>[2]C016!E9</f>
        <v>628764</v>
      </c>
      <c r="F16" s="679"/>
      <c r="G16" s="679"/>
      <c r="H16" s="679"/>
    </row>
    <row r="17" spans="1:8">
      <c r="A17" s="681" t="s">
        <v>507</v>
      </c>
      <c r="B17" s="682">
        <v>18</v>
      </c>
      <c r="C17" s="683">
        <f>[2]C018!C9</f>
        <v>27989</v>
      </c>
      <c r="D17" s="683">
        <f>[2]C018!D9</f>
        <v>29063</v>
      </c>
      <c r="E17" s="683">
        <f>[2]C018!E9</f>
        <v>30338</v>
      </c>
      <c r="F17" s="679"/>
      <c r="G17" s="679"/>
      <c r="H17" s="679"/>
    </row>
    <row r="18" spans="1:8">
      <c r="A18" s="681" t="s">
        <v>189</v>
      </c>
      <c r="B18" s="682">
        <v>19</v>
      </c>
      <c r="C18" s="683">
        <f>[2]C019!C9</f>
        <v>0</v>
      </c>
      <c r="D18" s="683">
        <f>[2]C019!D9</f>
        <v>0</v>
      </c>
      <c r="E18" s="683">
        <f>[2]C019!E9</f>
        <v>0</v>
      </c>
      <c r="F18" s="679"/>
      <c r="G18" s="679"/>
      <c r="H18" s="679"/>
    </row>
    <row r="19" spans="1:8">
      <c r="A19" s="681" t="s">
        <v>534</v>
      </c>
      <c r="B19" s="682">
        <v>22</v>
      </c>
      <c r="C19" s="683">
        <f>[2]C022!C9</f>
        <v>0</v>
      </c>
      <c r="D19" s="683">
        <f>[2]C022!D9</f>
        <v>0</v>
      </c>
      <c r="E19" s="683">
        <f>[2]C022!E9</f>
        <v>0</v>
      </c>
      <c r="F19" s="679"/>
      <c r="G19" s="679"/>
      <c r="H19" s="679"/>
    </row>
    <row r="20" spans="1:8">
      <c r="A20" s="681" t="s">
        <v>535</v>
      </c>
      <c r="B20" s="682">
        <v>24</v>
      </c>
      <c r="C20" s="683">
        <f>[2]C024!C9</f>
        <v>61084</v>
      </c>
      <c r="D20" s="683">
        <f>[2]C024!D9</f>
        <v>59987</v>
      </c>
      <c r="E20" s="683">
        <f>[2]C024!E9</f>
        <v>60867</v>
      </c>
      <c r="F20" s="679"/>
      <c r="G20" s="679"/>
      <c r="H20" s="679"/>
    </row>
    <row r="21" spans="1:8">
      <c r="A21" s="681" t="s">
        <v>598</v>
      </c>
      <c r="B21" s="682">
        <v>26</v>
      </c>
      <c r="C21" s="683">
        <f>[2]C026!C9</f>
        <v>17734</v>
      </c>
      <c r="D21" s="683">
        <f>[2]C026!D9</f>
        <v>12101</v>
      </c>
      <c r="E21" s="683">
        <f>[2]C026!E9</f>
        <v>9195</v>
      </c>
      <c r="F21" s="679"/>
      <c r="G21" s="679"/>
      <c r="H21" s="679"/>
    </row>
    <row r="22" spans="1:8">
      <c r="A22" s="681" t="s">
        <v>508</v>
      </c>
      <c r="B22" s="682">
        <v>28</v>
      </c>
      <c r="C22" s="683">
        <f>[2]C028!C9</f>
        <v>0</v>
      </c>
      <c r="D22" s="683">
        <f>[2]C028!D9</f>
        <v>0</v>
      </c>
      <c r="E22" s="683">
        <f>[2]C028!E9</f>
        <v>0</v>
      </c>
      <c r="F22" s="679"/>
      <c r="G22" s="679"/>
      <c r="H22" s="679"/>
    </row>
    <row r="23" spans="1:8">
      <c r="A23" s="681" t="s">
        <v>536</v>
      </c>
      <c r="B23" s="682">
        <v>29</v>
      </c>
      <c r="C23" s="683">
        <f>[2]C029!C9</f>
        <v>21116</v>
      </c>
      <c r="D23" s="683">
        <f>[2]C029!D9</f>
        <v>18093</v>
      </c>
      <c r="E23" s="683">
        <f>[2]C029!E9</f>
        <v>14970</v>
      </c>
      <c r="F23" s="679"/>
      <c r="G23" s="679"/>
      <c r="H23" s="679"/>
    </row>
    <row r="24" spans="1:8">
      <c r="A24" s="681" t="s">
        <v>537</v>
      </c>
      <c r="B24" s="682">
        <v>30</v>
      </c>
      <c r="C24" s="683">
        <f>[2]C030!C9</f>
        <v>480301</v>
      </c>
      <c r="D24" s="683">
        <f>[2]C030!D9</f>
        <v>504945</v>
      </c>
      <c r="E24" s="683">
        <f>[2]C030!E9</f>
        <v>545792</v>
      </c>
      <c r="F24" s="679"/>
      <c r="G24" s="679"/>
      <c r="H24" s="679"/>
    </row>
    <row r="25" spans="1:8">
      <c r="A25" s="681" t="s">
        <v>448</v>
      </c>
      <c r="B25" s="682">
        <v>33</v>
      </c>
      <c r="C25" s="683">
        <f>[2]C033!C9</f>
        <v>0</v>
      </c>
      <c r="D25" s="683">
        <f>[2]C033!D9</f>
        <v>0</v>
      </c>
      <c r="E25" s="683">
        <f>[2]C033!E9</f>
        <v>0</v>
      </c>
      <c r="F25" s="679"/>
      <c r="G25" s="679"/>
      <c r="H25" s="679"/>
    </row>
    <row r="26" spans="1:8">
      <c r="A26" s="681" t="s">
        <v>601</v>
      </c>
      <c r="B26" s="682">
        <v>34</v>
      </c>
      <c r="C26" s="683">
        <f>[2]C034!C9</f>
        <v>0</v>
      </c>
      <c r="D26" s="683">
        <f>[2]C034!D9</f>
        <v>95292</v>
      </c>
      <c r="E26" s="683">
        <f>[2]C034!E9</f>
        <v>153122</v>
      </c>
      <c r="F26" s="679"/>
      <c r="G26" s="679"/>
      <c r="H26" s="679"/>
    </row>
    <row r="27" spans="1:8">
      <c r="A27" s="681" t="s">
        <v>538</v>
      </c>
      <c r="B27" s="682">
        <v>35</v>
      </c>
      <c r="C27" s="683">
        <f>[2]C035!C9</f>
        <v>0</v>
      </c>
      <c r="D27" s="683">
        <f>[2]C035!D9</f>
        <v>0</v>
      </c>
      <c r="E27" s="683">
        <f>[2]C035!E9</f>
        <v>0</v>
      </c>
      <c r="F27" s="679"/>
      <c r="G27" s="679"/>
      <c r="H27" s="679"/>
    </row>
    <row r="28" spans="1:8">
      <c r="A28" s="685" t="s">
        <v>539</v>
      </c>
      <c r="B28" s="686">
        <v>42</v>
      </c>
      <c r="C28" s="683">
        <f>[2]C042!C9</f>
        <v>0</v>
      </c>
      <c r="D28" s="683">
        <f>[2]C042!D9</f>
        <v>0</v>
      </c>
      <c r="E28" s="683">
        <f>[2]C042!E9</f>
        <v>0</v>
      </c>
      <c r="F28" s="679"/>
      <c r="G28" s="679"/>
      <c r="H28" s="679"/>
    </row>
    <row r="29" spans="1:8">
      <c r="A29" s="685" t="s">
        <v>449</v>
      </c>
      <c r="B29" s="686">
        <v>44</v>
      </c>
      <c r="C29" s="683">
        <f>[2]C044!C9</f>
        <v>0</v>
      </c>
      <c r="D29" s="683">
        <f>[2]C044!D9</f>
        <v>0</v>
      </c>
      <c r="E29" s="683">
        <f>[2]C044!E9</f>
        <v>0</v>
      </c>
      <c r="F29" s="679"/>
      <c r="G29" s="679"/>
      <c r="H29" s="679"/>
    </row>
    <row r="30" spans="1:8">
      <c r="A30" s="685" t="s">
        <v>33</v>
      </c>
      <c r="B30" s="686">
        <v>45</v>
      </c>
      <c r="C30" s="683">
        <f>[2]C045!C9</f>
        <v>0</v>
      </c>
      <c r="D30" s="683">
        <f>[2]C045!D9</f>
        <v>0</v>
      </c>
      <c r="E30" s="683">
        <f>[2]C045!E9</f>
        <v>0</v>
      </c>
      <c r="F30" s="679"/>
      <c r="G30" s="679"/>
      <c r="H30" s="679"/>
    </row>
    <row r="31" spans="1:8">
      <c r="A31" s="685" t="s">
        <v>540</v>
      </c>
      <c r="B31" s="686">
        <v>47</v>
      </c>
      <c r="C31" s="683">
        <f>[2]C047!C9</f>
        <v>0</v>
      </c>
      <c r="D31" s="683">
        <f>[2]C047!D9</f>
        <v>0</v>
      </c>
      <c r="E31" s="683">
        <f>[2]C047!D42</f>
        <v>0</v>
      </c>
      <c r="F31" s="679"/>
      <c r="G31" s="679"/>
      <c r="H31" s="679"/>
    </row>
    <row r="32" spans="1:8">
      <c r="A32" s="685" t="s">
        <v>541</v>
      </c>
      <c r="B32" s="686">
        <v>51</v>
      </c>
      <c r="C32" s="688">
        <v>0</v>
      </c>
      <c r="D32" s="688">
        <v>0</v>
      </c>
      <c r="E32" s="688">
        <v>0</v>
      </c>
      <c r="F32" s="679"/>
      <c r="G32" s="679"/>
      <c r="H32" s="679"/>
    </row>
    <row r="33" spans="1:8">
      <c r="A33" s="685" t="s">
        <v>506</v>
      </c>
      <c r="B33" s="686">
        <v>53</v>
      </c>
      <c r="C33" s="683">
        <f>[2]C053!C9</f>
        <v>269500</v>
      </c>
      <c r="D33" s="683">
        <f>[2]C053!D9</f>
        <v>269500</v>
      </c>
      <c r="E33" s="683">
        <f>[2]C053!E9</f>
        <v>269500</v>
      </c>
      <c r="F33" s="679"/>
      <c r="G33" s="679"/>
      <c r="H33" s="679"/>
    </row>
    <row r="34" spans="1:8">
      <c r="A34" s="685" t="s">
        <v>542</v>
      </c>
      <c r="B34" s="686">
        <v>55</v>
      </c>
      <c r="C34" s="683">
        <f>[2]C055!C9</f>
        <v>75887</v>
      </c>
      <c r="D34" s="683">
        <f>[2]C055!D9</f>
        <v>101742</v>
      </c>
      <c r="E34" s="683">
        <f>[2]C055!E9</f>
        <v>105465</v>
      </c>
      <c r="F34" s="679"/>
      <c r="G34" s="679"/>
      <c r="H34" s="679"/>
    </row>
    <row r="35" spans="1:8">
      <c r="A35" s="685" t="s">
        <v>647</v>
      </c>
      <c r="B35" s="686">
        <v>56</v>
      </c>
      <c r="C35" s="683">
        <f>[2]C056!$C$9</f>
        <v>0</v>
      </c>
      <c r="D35" s="683">
        <f>[2]C056!$D$9</f>
        <v>0</v>
      </c>
      <c r="E35" s="683">
        <f>[2]C056!$E$9</f>
        <v>0</v>
      </c>
      <c r="F35" s="679"/>
      <c r="G35" s="679"/>
      <c r="H35" s="679"/>
    </row>
    <row r="36" spans="1:8">
      <c r="A36" s="685" t="s">
        <v>543</v>
      </c>
      <c r="B36" s="686">
        <v>57</v>
      </c>
      <c r="C36" s="683">
        <f>[2]C057!C9</f>
        <v>0</v>
      </c>
      <c r="D36" s="683">
        <f>[2]C057!D9</f>
        <v>0</v>
      </c>
      <c r="E36" s="683">
        <f>[2]C057!E9</f>
        <v>0</v>
      </c>
      <c r="F36" s="679"/>
      <c r="G36" s="679"/>
      <c r="H36" s="679"/>
    </row>
    <row r="37" spans="1:8">
      <c r="A37" s="685" t="s">
        <v>544</v>
      </c>
      <c r="B37" s="686">
        <v>62</v>
      </c>
      <c r="C37" s="683">
        <f>[2]C062!C9</f>
        <v>0</v>
      </c>
      <c r="D37" s="683">
        <f>[2]C062!D9</f>
        <v>0</v>
      </c>
      <c r="E37" s="683">
        <f>[2]C062!E9</f>
        <v>0</v>
      </c>
      <c r="F37" s="679"/>
      <c r="G37" s="679"/>
      <c r="H37" s="679"/>
    </row>
    <row r="38" spans="1:8">
      <c r="A38" s="685" t="s">
        <v>545</v>
      </c>
      <c r="B38" s="686">
        <v>63</v>
      </c>
      <c r="C38" s="683">
        <f>[2]C063!C9</f>
        <v>0</v>
      </c>
      <c r="D38" s="683">
        <f>[2]C063!D9</f>
        <v>0</v>
      </c>
      <c r="E38" s="683">
        <f>[2]C063!E9</f>
        <v>0</v>
      </c>
      <c r="F38" s="679"/>
      <c r="G38" s="679"/>
      <c r="H38" s="679"/>
    </row>
    <row r="39" spans="1:8">
      <c r="A39" s="685" t="s">
        <v>31</v>
      </c>
      <c r="B39" s="686">
        <v>66</v>
      </c>
      <c r="C39" s="683">
        <f>[2]C066!C9</f>
        <v>0</v>
      </c>
      <c r="D39" s="683">
        <f>[2]C066!D9</f>
        <v>0</v>
      </c>
      <c r="E39" s="683">
        <f>[2]C066!E9</f>
        <v>0</v>
      </c>
      <c r="F39" s="679"/>
      <c r="G39" s="679"/>
      <c r="H39" s="679"/>
    </row>
    <row r="40" spans="1:8">
      <c r="A40" s="685" t="s">
        <v>546</v>
      </c>
      <c r="B40" s="686">
        <v>68</v>
      </c>
      <c r="C40" s="683">
        <f>[2]C068!C9</f>
        <v>0</v>
      </c>
      <c r="D40" s="683">
        <f>[2]C068!D9</f>
        <v>0</v>
      </c>
      <c r="E40" s="683">
        <f>[2]C068!E9</f>
        <v>0</v>
      </c>
      <c r="F40" s="679"/>
      <c r="G40" s="679"/>
      <c r="H40" s="679"/>
    </row>
    <row r="41" spans="1:8">
      <c r="A41" s="685" t="s">
        <v>547</v>
      </c>
      <c r="B41" s="686">
        <v>78</v>
      </c>
      <c r="C41" s="683">
        <f>[2]C078!C9</f>
        <v>0</v>
      </c>
      <c r="D41" s="683">
        <f>[2]C078!D9</f>
        <v>0</v>
      </c>
      <c r="E41" s="683">
        <f>[2]C078!E9</f>
        <v>0</v>
      </c>
      <c r="F41" s="679"/>
      <c r="G41" s="679"/>
      <c r="H41" s="679"/>
    </row>
    <row r="42" spans="1:8">
      <c r="A42" s="689"/>
      <c r="B42" s="690"/>
      <c r="C42" s="689"/>
      <c r="D42" s="689"/>
      <c r="E42" s="689"/>
      <c r="F42" s="679"/>
      <c r="G42" s="679"/>
      <c r="H42" s="679"/>
    </row>
    <row r="43" spans="1:8">
      <c r="A43" s="691" t="s">
        <v>548</v>
      </c>
      <c r="B43" s="692"/>
      <c r="C43" s="683">
        <f>SUM(C7:C41)</f>
        <v>1630913</v>
      </c>
      <c r="D43" s="684">
        <f>SUM(D7:D41)</f>
        <v>1796870</v>
      </c>
      <c r="E43" s="683">
        <f>SUM(E7:E41)</f>
        <v>1826146</v>
      </c>
      <c r="F43" s="679"/>
      <c r="G43" s="679"/>
      <c r="H43" s="679"/>
    </row>
    <row r="44" spans="1:8">
      <c r="A44" s="685" t="s">
        <v>549</v>
      </c>
      <c r="B44" s="686"/>
      <c r="C44" s="688">
        <f>IF(ISERROR([2]OPEN!A142),0,[2]OPEN!A142)</f>
        <v>302</v>
      </c>
      <c r="D44" s="688">
        <f>IF(ISERROR([2]OPEN!A143),0,[2]OPEN!A143)</f>
        <v>295</v>
      </c>
      <c r="E44" s="683">
        <f>[2]OPEN!A144</f>
        <v>302</v>
      </c>
      <c r="F44" s="679"/>
      <c r="G44" s="679"/>
      <c r="H44" s="679"/>
    </row>
    <row r="45" spans="1:8">
      <c r="A45" s="685" t="s">
        <v>550</v>
      </c>
      <c r="B45" s="686"/>
      <c r="C45" s="688">
        <f>IF(C43=0,0,ROUND(C43/C44,0))</f>
        <v>5400</v>
      </c>
      <c r="D45" s="693">
        <f>IF(D43=0,0,ROUND(D43/D44,0))</f>
        <v>6091</v>
      </c>
      <c r="E45" s="688">
        <f>IF(OR(E43=0,E44=0),0,ROUND(E43/E44,0))</f>
        <v>6047</v>
      </c>
      <c r="F45" s="679"/>
      <c r="G45" s="679"/>
      <c r="H45" s="679"/>
    </row>
    <row r="46" spans="1:8">
      <c r="A46" s="689"/>
      <c r="B46" s="690"/>
      <c r="C46" s="689"/>
      <c r="D46" s="689"/>
      <c r="E46" s="689"/>
      <c r="F46" s="679"/>
      <c r="G46" s="679"/>
      <c r="H46" s="679"/>
    </row>
    <row r="47" spans="1:8">
      <c r="A47" s="685" t="s">
        <v>175</v>
      </c>
      <c r="B47" s="686">
        <v>67</v>
      </c>
      <c r="C47" s="683">
        <f>[2]C067!C9</f>
        <v>0</v>
      </c>
      <c r="D47" s="683">
        <f>[2]C067!D9</f>
        <v>0</v>
      </c>
      <c r="E47" s="683">
        <f>[2]C067!E9</f>
        <v>0</v>
      </c>
      <c r="F47" s="679"/>
      <c r="G47" s="679"/>
      <c r="H47" s="679"/>
    </row>
    <row r="48" spans="1:8">
      <c r="A48" s="685" t="s">
        <v>32</v>
      </c>
      <c r="B48" s="686">
        <v>80</v>
      </c>
      <c r="C48" s="683">
        <f>[2]C080!C9</f>
        <v>0</v>
      </c>
      <c r="D48" s="683">
        <f>[2]C080!D9</f>
        <v>0</v>
      </c>
      <c r="E48" s="683">
        <f>[2]C080!E9</f>
        <v>0</v>
      </c>
      <c r="F48" s="679"/>
      <c r="G48" s="679"/>
      <c r="H48" s="679"/>
    </row>
    <row r="49" spans="1:8">
      <c r="A49" s="685" t="s">
        <v>349</v>
      </c>
      <c r="B49" s="686">
        <v>82</v>
      </c>
      <c r="C49" s="683">
        <f>[2]C082!C9</f>
        <v>0</v>
      </c>
      <c r="D49" s="683">
        <f>[2]C082!D9</f>
        <v>0</v>
      </c>
      <c r="E49" s="683">
        <f>[2]C082!E9</f>
        <v>0</v>
      </c>
      <c r="F49" s="679"/>
      <c r="G49" s="679"/>
      <c r="H49" s="679"/>
    </row>
    <row r="50" spans="1:8">
      <c r="A50" s="685" t="s">
        <v>635</v>
      </c>
      <c r="B50" s="686">
        <v>83</v>
      </c>
      <c r="C50" s="683">
        <f>[2]C083!C9</f>
        <v>0</v>
      </c>
      <c r="D50" s="683">
        <f>[2]C083!D9</f>
        <v>0</v>
      </c>
      <c r="E50" s="683">
        <f>[2]C083!E9</f>
        <v>0</v>
      </c>
      <c r="F50" s="679"/>
      <c r="G50" s="679"/>
      <c r="H50" s="679"/>
    </row>
    <row r="51" spans="1:8">
      <c r="A51" s="685" t="s">
        <v>636</v>
      </c>
      <c r="B51" s="686">
        <v>84</v>
      </c>
      <c r="C51" s="683">
        <f>[2]C084!C9</f>
        <v>0</v>
      </c>
      <c r="D51" s="683">
        <f>[2]C084!D9</f>
        <v>0</v>
      </c>
      <c r="E51" s="683">
        <f>[2]C084!E9</f>
        <v>0</v>
      </c>
      <c r="F51" s="679"/>
      <c r="G51" s="679"/>
      <c r="H51" s="679"/>
    </row>
    <row r="52" spans="1:8">
      <c r="A52" s="685" t="s">
        <v>637</v>
      </c>
      <c r="B52" s="686">
        <v>86</v>
      </c>
      <c r="C52" s="683">
        <f>[2]C086!C9</f>
        <v>0</v>
      </c>
      <c r="D52" s="683">
        <f>[2]C086!D9</f>
        <v>0</v>
      </c>
      <c r="E52" s="683">
        <f>[2]C086!E9</f>
        <v>0</v>
      </c>
      <c r="F52" s="679"/>
      <c r="G52" s="679"/>
      <c r="H52" s="679"/>
    </row>
    <row r="53" spans="1:8">
      <c r="A53" s="691" t="s">
        <v>638</v>
      </c>
      <c r="B53" s="692" t="s">
        <v>645</v>
      </c>
      <c r="C53" s="683">
        <f>SUM(C47:C52)</f>
        <v>0</v>
      </c>
      <c r="D53" s="684">
        <f>SUM(D47:D52)</f>
        <v>0</v>
      </c>
      <c r="E53" s="683">
        <f>SUM(E47:E52)</f>
        <v>0</v>
      </c>
      <c r="F53" s="679"/>
      <c r="G53" s="679"/>
      <c r="H53" s="679"/>
    </row>
    <row r="54" spans="1:8" ht="6" customHeight="1">
      <c r="A54" s="679"/>
      <c r="B54" s="679"/>
      <c r="C54" s="679"/>
      <c r="D54" s="679"/>
      <c r="E54" s="679"/>
      <c r="F54" s="679"/>
      <c r="G54" s="679"/>
      <c r="H54" s="679"/>
    </row>
    <row r="55" spans="1:8">
      <c r="A55" s="694" t="s">
        <v>639</v>
      </c>
      <c r="B55" s="694"/>
      <c r="C55" s="679"/>
      <c r="D55" s="679"/>
      <c r="E55" s="679"/>
      <c r="F55" s="679"/>
      <c r="G55" s="679"/>
      <c r="H55" s="679"/>
    </row>
    <row r="56" spans="1:8" ht="6.75" customHeight="1">
      <c r="A56" s="679"/>
      <c r="B56" s="679"/>
      <c r="C56" s="679"/>
      <c r="D56" s="679"/>
      <c r="E56" s="679"/>
      <c r="F56" s="679"/>
      <c r="G56" s="679"/>
      <c r="H56" s="679"/>
    </row>
    <row r="57" spans="1:8">
      <c r="A57" s="694" t="s">
        <v>640</v>
      </c>
      <c r="B57" s="694"/>
      <c r="C57" s="679"/>
      <c r="D57" s="679"/>
      <c r="E57" s="679"/>
      <c r="F57" s="679"/>
      <c r="G57" s="679"/>
      <c r="H57" s="679"/>
    </row>
    <row r="58" spans="1:8">
      <c r="A58" s="694" t="s">
        <v>641</v>
      </c>
      <c r="B58" s="694"/>
      <c r="C58" s="679"/>
      <c r="D58" s="679"/>
      <c r="E58" s="679"/>
      <c r="F58" s="679"/>
      <c r="G58" s="679"/>
      <c r="H58" s="679"/>
    </row>
    <row r="59" spans="1:8" ht="9.75" customHeight="1">
      <c r="A59" s="679"/>
      <c r="B59" s="679"/>
      <c r="C59" s="679"/>
      <c r="D59" s="679"/>
      <c r="E59" s="679"/>
      <c r="F59" s="679"/>
      <c r="G59" s="679"/>
      <c r="H59" s="679"/>
    </row>
    <row r="60" spans="1:8">
      <c r="A60" s="694" t="s">
        <v>555</v>
      </c>
      <c r="B60" s="694"/>
      <c r="C60" s="679"/>
      <c r="D60" s="679"/>
      <c r="E60" s="679"/>
      <c r="F60" s="679"/>
      <c r="G60" s="679"/>
      <c r="H60" s="679"/>
    </row>
    <row r="61" spans="1:8">
      <c r="A61" s="694" t="s">
        <v>644</v>
      </c>
      <c r="B61" s="694"/>
      <c r="C61" s="679"/>
      <c r="D61" s="679"/>
      <c r="E61" s="679"/>
      <c r="F61" s="679"/>
      <c r="G61" s="679"/>
      <c r="H61" s="679"/>
    </row>
  </sheetData>
  <sheetProtection password="CC63" sheet="1" objects="1" scenarios="1"/>
  <mergeCells count="1">
    <mergeCell ref="A4:E4"/>
  </mergeCells>
  <hyperlinks>
    <hyperlink ref="G1" location="Contents!A1" display="Return to Contents page"/>
  </hyperlinks>
  <pageMargins left="0.7" right="0.7" top="0.5" bottom="0.5" header="0.3" footer="0.3"/>
  <pageSetup scale="98" orientation="portrait"/>
  <headerFooter>
    <oddFooter>&amp;L&amp;D  &amp;T&amp;CCash Balances&amp;RPage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L30"/>
  <sheetViews>
    <sheetView zoomScaleNormal="100" workbookViewId="0">
      <selection activeCell="B11" sqref="B11"/>
    </sheetView>
  </sheetViews>
  <sheetFormatPr defaultColWidth="8.85546875" defaultRowHeight="12.75"/>
  <cols>
    <col min="1" max="1" width="31.7109375" customWidth="1"/>
    <col min="2" max="2" width="10" customWidth="1"/>
    <col min="3" max="9" width="8.85546875" customWidth="1"/>
    <col min="10" max="10" width="31.42578125" customWidth="1"/>
    <col min="11" max="11" width="2.7109375" customWidth="1"/>
  </cols>
  <sheetData>
    <row r="1" spans="1:12">
      <c r="A1" s="721"/>
      <c r="B1" s="721"/>
      <c r="C1" s="721"/>
      <c r="D1" s="721"/>
      <c r="E1" s="721"/>
      <c r="F1" s="721"/>
      <c r="G1" s="721"/>
      <c r="H1" s="721"/>
      <c r="I1" s="721"/>
      <c r="J1" s="721"/>
      <c r="L1" s="480" t="s">
        <v>616</v>
      </c>
    </row>
    <row r="2" spans="1:12">
      <c r="A2" s="722" t="s">
        <v>671</v>
      </c>
      <c r="B2" s="721"/>
      <c r="C2" s="721"/>
      <c r="D2" s="721"/>
      <c r="E2" s="721"/>
      <c r="F2" s="721"/>
      <c r="G2" s="721"/>
      <c r="H2" s="721"/>
      <c r="I2" s="721"/>
      <c r="J2" s="721"/>
    </row>
    <row r="3" spans="1:12">
      <c r="A3" s="722" t="s">
        <v>672</v>
      </c>
      <c r="B3" s="723"/>
      <c r="C3" s="723"/>
      <c r="D3" s="723"/>
      <c r="E3" s="723"/>
      <c r="F3" s="723"/>
      <c r="G3" s="723"/>
      <c r="H3" s="723"/>
      <c r="I3" s="721"/>
      <c r="J3" s="721"/>
    </row>
    <row r="4" spans="1:12">
      <c r="A4" s="721"/>
      <c r="B4" s="721"/>
      <c r="C4" s="721"/>
      <c r="D4" s="721"/>
      <c r="E4" s="721"/>
      <c r="F4" s="721"/>
      <c r="G4" s="721"/>
      <c r="H4" s="721"/>
      <c r="I4" s="721"/>
      <c r="J4" s="721"/>
    </row>
    <row r="5" spans="1:12">
      <c r="A5" s="724" t="s">
        <v>673</v>
      </c>
      <c r="B5" s="725"/>
      <c r="C5" s="725"/>
      <c r="D5" s="725"/>
      <c r="E5" s="725"/>
      <c r="F5" s="725"/>
      <c r="G5" s="725"/>
      <c r="H5" s="725"/>
      <c r="I5" s="725"/>
      <c r="J5" s="725"/>
    </row>
    <row r="6" spans="1:12">
      <c r="A6" s="726" t="s">
        <v>153</v>
      </c>
      <c r="B6" s="727" t="str">
        <f>UPPER([2]OPEN!B5)</f>
        <v>RUSH</v>
      </c>
      <c r="C6" s="725"/>
      <c r="D6" s="725" t="s">
        <v>674</v>
      </c>
      <c r="E6" s="725"/>
      <c r="F6" s="725"/>
      <c r="G6" s="725"/>
      <c r="H6" s="725"/>
      <c r="I6" s="725"/>
      <c r="J6" s="725"/>
    </row>
    <row r="7" spans="1:12">
      <c r="A7" s="726" t="s">
        <v>675</v>
      </c>
      <c r="B7" s="728" t="str">
        <f>"UNIFIED SCHOOL DISTRICT "&amp;[2]OPEN!B4</f>
        <v>UNIFIED SCHOOL DISTRICT 395</v>
      </c>
      <c r="C7" s="725"/>
      <c r="D7" s="725"/>
      <c r="E7" s="725"/>
      <c r="F7" s="725"/>
      <c r="G7" s="725"/>
      <c r="H7" s="725"/>
      <c r="I7" s="725"/>
      <c r="J7" s="725"/>
    </row>
    <row r="8" spans="1:12">
      <c r="A8" s="725"/>
      <c r="B8" s="725"/>
      <c r="C8" s="725"/>
      <c r="D8" s="725"/>
      <c r="E8" s="725"/>
      <c r="F8" s="725"/>
      <c r="G8" s="725"/>
      <c r="H8" s="725"/>
      <c r="I8" s="725"/>
      <c r="J8" s="725"/>
    </row>
    <row r="9" spans="1:12">
      <c r="A9" s="724" t="s">
        <v>676</v>
      </c>
      <c r="B9" s="725"/>
      <c r="C9" s="725"/>
      <c r="D9" s="725"/>
      <c r="E9" s="725"/>
      <c r="F9" s="725"/>
      <c r="G9" s="725"/>
      <c r="H9" s="725"/>
      <c r="I9" s="725"/>
      <c r="J9" s="725"/>
    </row>
    <row r="10" spans="1:12">
      <c r="A10" s="726" t="s">
        <v>593</v>
      </c>
      <c r="B10" s="728" t="str">
        <f>"Unified School District "&amp;[2]OPEN!B4</f>
        <v>Unified School District 395</v>
      </c>
      <c r="C10" s="725"/>
      <c r="D10" s="725"/>
      <c r="E10" s="725"/>
      <c r="F10" s="725"/>
      <c r="G10" s="725"/>
      <c r="H10" s="725"/>
      <c r="I10" s="725"/>
      <c r="J10" s="725"/>
    </row>
    <row r="11" spans="1:12">
      <c r="A11" s="726" t="s">
        <v>594</v>
      </c>
      <c r="B11" s="729" t="s">
        <v>690</v>
      </c>
      <c r="C11" s="725" t="s">
        <v>684</v>
      </c>
      <c r="D11" s="725"/>
      <c r="E11" s="725"/>
      <c r="F11" s="725"/>
      <c r="G11" s="725"/>
      <c r="H11" s="725"/>
      <c r="I11" s="725"/>
      <c r="J11" s="725"/>
    </row>
    <row r="12" spans="1:12">
      <c r="A12" s="726" t="s">
        <v>595</v>
      </c>
      <c r="B12" s="729" t="s">
        <v>691</v>
      </c>
      <c r="C12" s="725" t="s">
        <v>604</v>
      </c>
      <c r="D12" s="725"/>
      <c r="E12" s="725"/>
      <c r="F12" s="725"/>
      <c r="G12" s="725"/>
      <c r="H12" s="725"/>
      <c r="I12" s="725"/>
      <c r="J12" s="725"/>
    </row>
    <row r="13" spans="1:12">
      <c r="A13" s="726" t="s">
        <v>596</v>
      </c>
      <c r="B13" s="730" t="s">
        <v>719</v>
      </c>
      <c r="C13" s="725" t="s">
        <v>605</v>
      </c>
      <c r="D13" s="725"/>
      <c r="E13" s="725"/>
      <c r="F13" s="725"/>
      <c r="G13" s="725"/>
      <c r="H13" s="725"/>
      <c r="I13" s="725"/>
      <c r="J13" s="725"/>
    </row>
    <row r="14" spans="1:12">
      <c r="A14" s="726" t="s">
        <v>596</v>
      </c>
      <c r="B14" s="729" t="s">
        <v>720</v>
      </c>
      <c r="C14" s="725"/>
      <c r="D14" s="725"/>
      <c r="E14" s="725"/>
      <c r="F14" s="725" t="s">
        <v>686</v>
      </c>
      <c r="G14" s="725"/>
      <c r="H14" s="725"/>
      <c r="I14" s="725"/>
      <c r="J14" s="725"/>
    </row>
    <row r="15" spans="1:12">
      <c r="A15" s="725" t="s">
        <v>597</v>
      </c>
      <c r="B15" s="729" t="s">
        <v>721</v>
      </c>
      <c r="C15" s="725"/>
      <c r="D15" s="725"/>
      <c r="E15" s="725"/>
      <c r="F15" s="725" t="s">
        <v>692</v>
      </c>
      <c r="G15" s="725"/>
      <c r="H15" s="725"/>
      <c r="I15" s="725"/>
      <c r="J15" s="725"/>
    </row>
    <row r="16" spans="1:12">
      <c r="A16" s="725"/>
      <c r="B16" s="725"/>
      <c r="C16" s="725"/>
      <c r="D16" s="725"/>
      <c r="E16" s="725"/>
      <c r="F16" s="725"/>
      <c r="G16" s="725"/>
      <c r="H16" s="725"/>
      <c r="I16" s="725"/>
      <c r="J16" s="725"/>
    </row>
    <row r="17" spans="1:10">
      <c r="A17" s="724" t="s">
        <v>680</v>
      </c>
      <c r="B17" s="725"/>
      <c r="C17" s="725"/>
      <c r="D17" s="725"/>
      <c r="E17" s="725"/>
      <c r="F17" s="725"/>
      <c r="G17" s="725"/>
      <c r="H17" s="725"/>
      <c r="I17" s="725"/>
      <c r="J17" s="725"/>
    </row>
    <row r="18" spans="1:10">
      <c r="A18" s="726" t="s">
        <v>593</v>
      </c>
      <c r="B18" s="728" t="str">
        <f>"Unified School District "&amp;[2]OPEN!B4</f>
        <v>Unified School District 395</v>
      </c>
      <c r="C18" s="725"/>
      <c r="D18" s="725"/>
      <c r="E18" s="725"/>
      <c r="F18" s="725"/>
      <c r="G18" s="725"/>
      <c r="H18" s="725"/>
      <c r="I18" s="725"/>
      <c r="J18" s="725"/>
    </row>
    <row r="19" spans="1:10">
      <c r="A19" s="726" t="s">
        <v>594</v>
      </c>
      <c r="B19" s="731"/>
      <c r="C19" s="732" t="s">
        <v>610</v>
      </c>
      <c r="D19" s="725"/>
      <c r="E19" s="725"/>
      <c r="F19" s="725"/>
      <c r="G19" s="725"/>
      <c r="H19" s="725"/>
      <c r="I19" s="725"/>
      <c r="J19" s="725"/>
    </row>
    <row r="20" spans="1:10">
      <c r="A20" s="726" t="s">
        <v>681</v>
      </c>
      <c r="B20" s="731"/>
      <c r="C20" s="725" t="s">
        <v>611</v>
      </c>
      <c r="D20" s="725"/>
      <c r="E20" s="725"/>
      <c r="F20" s="725"/>
      <c r="G20" s="725"/>
      <c r="H20" s="725"/>
      <c r="I20" s="725"/>
      <c r="J20" s="725"/>
    </row>
    <row r="21" spans="1:10">
      <c r="A21" s="726" t="s">
        <v>596</v>
      </c>
      <c r="B21" s="733"/>
      <c r="C21" s="725" t="s">
        <v>694</v>
      </c>
      <c r="D21" s="725"/>
      <c r="E21" s="725"/>
      <c r="F21" s="725"/>
      <c r="G21" s="725"/>
      <c r="H21" s="725"/>
      <c r="I21" s="725"/>
      <c r="J21" s="725"/>
    </row>
    <row r="22" spans="1:10">
      <c r="A22" s="726"/>
      <c r="B22" s="733"/>
      <c r="C22" s="732" t="s">
        <v>695</v>
      </c>
      <c r="D22" s="725"/>
      <c r="E22" s="725"/>
      <c r="F22" s="725"/>
      <c r="G22" s="725"/>
      <c r="H22" s="725"/>
      <c r="I22" s="725"/>
      <c r="J22" s="725"/>
    </row>
    <row r="23" spans="1:10">
      <c r="A23" s="726" t="s">
        <v>596</v>
      </c>
      <c r="B23" s="731"/>
      <c r="C23" s="725"/>
      <c r="D23" s="725"/>
      <c r="E23" s="725"/>
      <c r="F23" s="725" t="s">
        <v>686</v>
      </c>
      <c r="G23" s="725"/>
      <c r="H23" s="725"/>
      <c r="I23" s="725"/>
      <c r="J23" s="725"/>
    </row>
    <row r="24" spans="1:10">
      <c r="A24" s="725" t="s">
        <v>597</v>
      </c>
      <c r="B24" s="731"/>
      <c r="C24" s="725"/>
      <c r="D24" s="725"/>
      <c r="E24" s="725"/>
      <c r="F24" s="725" t="s">
        <v>692</v>
      </c>
      <c r="G24" s="725"/>
      <c r="H24" s="725"/>
      <c r="I24" s="725"/>
      <c r="J24" s="725"/>
    </row>
    <row r="25" spans="1:10">
      <c r="A25" s="734"/>
      <c r="B25" s="734"/>
      <c r="C25" s="734"/>
      <c r="D25" s="734"/>
      <c r="E25" s="734"/>
      <c r="F25" s="734"/>
      <c r="G25" s="734"/>
      <c r="H25" s="734"/>
      <c r="I25" s="734"/>
      <c r="J25" s="734"/>
    </row>
    <row r="26" spans="1:10">
      <c r="A26" s="735" t="s">
        <v>682</v>
      </c>
      <c r="B26" s="734"/>
      <c r="C26" s="734"/>
      <c r="D26" s="734"/>
      <c r="E26" s="734"/>
      <c r="F26" s="734"/>
      <c r="G26" s="734"/>
      <c r="H26" s="734"/>
      <c r="I26" s="734"/>
      <c r="J26" s="734"/>
    </row>
    <row r="27" spans="1:10">
      <c r="A27" s="736" t="s">
        <v>683</v>
      </c>
      <c r="B27" s="737">
        <v>40770</v>
      </c>
      <c r="C27" s="738" t="s">
        <v>613</v>
      </c>
      <c r="D27" s="734"/>
      <c r="E27" s="734"/>
      <c r="F27" s="734"/>
      <c r="G27" s="734"/>
      <c r="H27" s="734"/>
      <c r="I27" s="734"/>
      <c r="J27" s="734"/>
    </row>
    <row r="28" spans="1:10">
      <c r="A28" s="734"/>
      <c r="B28" s="734"/>
      <c r="C28" s="734"/>
      <c r="D28" s="734"/>
      <c r="E28" s="734"/>
      <c r="F28" s="734"/>
      <c r="G28" s="734"/>
      <c r="H28" s="734"/>
      <c r="I28" s="734"/>
      <c r="J28" s="734"/>
    </row>
    <row r="29" spans="1:10">
      <c r="A29" s="734"/>
      <c r="B29" s="734"/>
      <c r="C29" s="734"/>
      <c r="D29" s="734"/>
      <c r="E29" s="734"/>
      <c r="F29" s="734"/>
      <c r="G29" s="734"/>
      <c r="H29" s="734"/>
      <c r="I29" s="734"/>
      <c r="J29" s="734"/>
    </row>
    <row r="30" spans="1:10">
      <c r="A30" s="734"/>
      <c r="B30" s="734"/>
      <c r="C30" s="734"/>
      <c r="D30" s="734"/>
      <c r="E30" s="734"/>
      <c r="F30" s="734"/>
      <c r="G30" s="734"/>
      <c r="H30" s="734"/>
      <c r="I30" s="734"/>
      <c r="J30" s="734"/>
    </row>
  </sheetData>
  <sheetProtection password="CC61" sheet="1" objects="1" scenarios="1"/>
  <hyperlinks>
    <hyperlink ref="L1" location="Contents!A1" display="Return to Contents"/>
  </hyperlinks>
  <pageMargins left="0.7" right="0.7" top="0.75" bottom="0.75" header="0.3" footer="0.3"/>
  <pageSetup scale="83" orientation="landscape"/>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M66"/>
  <sheetViews>
    <sheetView topLeftCell="B1" zoomScale="120" zoomScaleNormal="100" workbookViewId="0">
      <selection activeCell="K12" sqref="K12"/>
    </sheetView>
  </sheetViews>
  <sheetFormatPr defaultColWidth="8.85546875" defaultRowHeight="12.75"/>
  <cols>
    <col min="1" max="1" width="30.42578125" customWidth="1"/>
    <col min="2" max="2" width="8.28515625" customWidth="1"/>
    <col min="3" max="3" width="12.42578125" customWidth="1"/>
    <col min="4" max="4" width="13.42578125" customWidth="1"/>
    <col min="5" max="5" width="2" customWidth="1"/>
    <col min="6" max="6" width="8.42578125" customWidth="1"/>
    <col min="7" max="7" width="12.42578125" customWidth="1"/>
    <col min="8" max="8" width="12.85546875" customWidth="1"/>
    <col min="9" max="9" width="1.42578125" customWidth="1"/>
    <col min="10" max="10" width="8.42578125" customWidth="1"/>
    <col min="11" max="11" width="12.42578125" customWidth="1"/>
    <col min="12" max="12" width="13.42578125" customWidth="1"/>
  </cols>
  <sheetData>
    <row r="1" spans="1:13">
      <c r="C1" s="761"/>
      <c r="D1" s="761" t="s">
        <v>361</v>
      </c>
      <c r="F1" s="762">
        <f>[2]OPEN!B4</f>
        <v>395</v>
      </c>
      <c r="M1" s="480" t="s">
        <v>616</v>
      </c>
    </row>
    <row r="2" spans="1:13">
      <c r="A2" s="787" t="s">
        <v>623</v>
      </c>
      <c r="B2" s="787"/>
      <c r="C2" s="787"/>
      <c r="D2" s="787"/>
      <c r="E2" s="787"/>
      <c r="F2" s="787"/>
      <c r="G2" s="787"/>
      <c r="H2" s="787"/>
      <c r="I2" s="787"/>
      <c r="J2" s="787"/>
      <c r="K2" s="787"/>
      <c r="L2" s="787"/>
    </row>
    <row r="4" spans="1:13">
      <c r="B4" s="787" t="str">
        <f>[2]OPEN!N12</f>
        <v>2009-10 Actual</v>
      </c>
      <c r="C4" s="787"/>
      <c r="D4" s="787"/>
      <c r="F4" s="787" t="str">
        <f>[2]OPEN!O12</f>
        <v>2010-11 Actual</v>
      </c>
      <c r="G4" s="787"/>
      <c r="H4" s="787"/>
      <c r="J4" s="787" t="str">
        <f>[2]OPEN!P12</f>
        <v>2011-12 Contracted</v>
      </c>
      <c r="K4" s="787"/>
      <c r="L4" s="787"/>
    </row>
    <row r="5" spans="1:13">
      <c r="B5" s="616" t="s">
        <v>77</v>
      </c>
      <c r="C5" s="616" t="s">
        <v>624</v>
      </c>
      <c r="D5" s="616" t="s">
        <v>625</v>
      </c>
      <c r="F5" s="616" t="s">
        <v>77</v>
      </c>
      <c r="G5" s="616" t="s">
        <v>624</v>
      </c>
      <c r="H5" s="616" t="s">
        <v>625</v>
      </c>
      <c r="J5" s="616" t="s">
        <v>77</v>
      </c>
      <c r="K5" s="616" t="s">
        <v>624</v>
      </c>
      <c r="L5" s="616" t="s">
        <v>625</v>
      </c>
    </row>
    <row r="6" spans="1:13">
      <c r="A6" s="763" t="s">
        <v>626</v>
      </c>
      <c r="B6" s="764">
        <v>2</v>
      </c>
      <c r="C6" s="650">
        <v>177106</v>
      </c>
      <c r="D6" s="765">
        <f>IF(B6&lt;1,C6,C6/B6)</f>
        <v>88553</v>
      </c>
      <c r="F6" s="764">
        <v>2</v>
      </c>
      <c r="G6" s="650">
        <v>180623</v>
      </c>
      <c r="H6" s="765">
        <f>IF(F6&lt;1,G6,G6/F6)</f>
        <v>90312</v>
      </c>
      <c r="J6" s="764">
        <v>2</v>
      </c>
      <c r="K6" s="650">
        <v>182575</v>
      </c>
      <c r="L6" s="765">
        <f>IF(J6&lt;1,K6,K6/J6)</f>
        <v>91288</v>
      </c>
    </row>
    <row r="7" spans="1:13">
      <c r="A7" s="763" t="s">
        <v>627</v>
      </c>
      <c r="B7" s="764">
        <v>27.3</v>
      </c>
      <c r="C7" s="650">
        <v>1262625</v>
      </c>
      <c r="D7" s="765">
        <f>IF(B7&lt;1,C7,C7/B7)</f>
        <v>46250</v>
      </c>
      <c r="F7" s="764">
        <v>27.3</v>
      </c>
      <c r="G7" s="650">
        <v>1256006</v>
      </c>
      <c r="H7" s="765">
        <f>IF(F7&lt;1,G7,G7/F7)</f>
        <v>46008</v>
      </c>
      <c r="J7" s="764">
        <v>26.3</v>
      </c>
      <c r="K7" s="650">
        <v>1229236</v>
      </c>
      <c r="L7" s="765">
        <f>IF(J7&lt;1,K7,K7/J7)</f>
        <v>46739</v>
      </c>
    </row>
    <row r="8" spans="1:13">
      <c r="A8" s="763" t="s">
        <v>628</v>
      </c>
      <c r="B8" s="764">
        <v>1.7</v>
      </c>
      <c r="C8" s="650">
        <v>91174</v>
      </c>
      <c r="D8" s="765">
        <f>IF(B8&lt;1,C8,C8/B8)</f>
        <v>53632</v>
      </c>
      <c r="F8" s="764">
        <v>1.7</v>
      </c>
      <c r="G8" s="650">
        <v>87563</v>
      </c>
      <c r="H8" s="765">
        <f>IF(F8&lt;1,G8,G8/F8)</f>
        <v>51508</v>
      </c>
      <c r="J8" s="764">
        <v>1.7</v>
      </c>
      <c r="K8" s="650">
        <v>88360</v>
      </c>
      <c r="L8" s="765">
        <f>IF(J8&lt;1,K8,K8/J8)</f>
        <v>51976</v>
      </c>
    </row>
    <row r="9" spans="1:13">
      <c r="A9" s="763" t="s">
        <v>629</v>
      </c>
      <c r="B9" s="764">
        <v>12.1</v>
      </c>
      <c r="C9" s="650">
        <v>428921</v>
      </c>
      <c r="D9" s="765">
        <f>IF(B9&lt;1,C9,C9/B9)</f>
        <v>35448</v>
      </c>
      <c r="F9" s="764">
        <v>12</v>
      </c>
      <c r="G9" s="650">
        <v>420701</v>
      </c>
      <c r="H9" s="765">
        <f>IF(F9&lt;1,G9,G9/F9)</f>
        <v>35058</v>
      </c>
      <c r="J9" s="764">
        <v>11.1</v>
      </c>
      <c r="K9" s="650">
        <v>412810</v>
      </c>
      <c r="L9" s="765">
        <f>IF(J9&lt;1,K9,K9/J9)</f>
        <v>37190</v>
      </c>
    </row>
    <row r="10" spans="1:13">
      <c r="A10" s="763" t="s">
        <v>630</v>
      </c>
      <c r="B10" s="772" t="s">
        <v>706</v>
      </c>
      <c r="C10" s="650">
        <v>23195</v>
      </c>
      <c r="D10" s="771" t="s">
        <v>707</v>
      </c>
      <c r="F10" s="772" t="s">
        <v>706</v>
      </c>
      <c r="G10" s="650">
        <v>47934</v>
      </c>
      <c r="H10" s="771" t="s">
        <v>707</v>
      </c>
      <c r="J10" s="772" t="s">
        <v>706</v>
      </c>
      <c r="K10" s="650">
        <v>40000</v>
      </c>
      <c r="L10" s="771" t="s">
        <v>707</v>
      </c>
    </row>
    <row r="12" spans="1:13" ht="13.5" thickBot="1">
      <c r="A12" s="766" t="s">
        <v>631</v>
      </c>
      <c r="B12" s="758"/>
      <c r="C12" s="758"/>
      <c r="D12" s="758"/>
      <c r="E12" s="758"/>
      <c r="F12" s="758"/>
      <c r="G12" s="758"/>
      <c r="H12" s="758"/>
      <c r="I12" s="758"/>
      <c r="J12" s="758"/>
      <c r="K12" s="743"/>
    </row>
    <row r="13" spans="1:13">
      <c r="A13" s="761" t="s">
        <v>632</v>
      </c>
      <c r="B13" t="s">
        <v>633</v>
      </c>
    </row>
    <row r="14" spans="1:13">
      <c r="A14" s="761"/>
      <c r="B14" t="s">
        <v>634</v>
      </c>
    </row>
    <row r="15" spans="1:13">
      <c r="A15" s="761"/>
      <c r="B15" t="s">
        <v>708</v>
      </c>
    </row>
    <row r="16" spans="1:13">
      <c r="A16" s="761"/>
      <c r="B16" t="s">
        <v>709</v>
      </c>
    </row>
    <row r="17" spans="1:11">
      <c r="A17" s="761"/>
    </row>
    <row r="18" spans="1:11">
      <c r="A18" s="761"/>
      <c r="B18" t="s">
        <v>710</v>
      </c>
    </row>
    <row r="19" spans="1:11">
      <c r="A19" s="761"/>
      <c r="B19" t="s">
        <v>711</v>
      </c>
    </row>
    <row r="20" spans="1:11">
      <c r="A20" s="761"/>
      <c r="B20" t="s">
        <v>712</v>
      </c>
    </row>
    <row r="21" spans="1:11" ht="13.5" thickBot="1">
      <c r="A21" s="767"/>
      <c r="B21" s="758" t="s">
        <v>642</v>
      </c>
      <c r="C21" s="758"/>
      <c r="D21" s="758"/>
      <c r="E21" s="758"/>
      <c r="F21" s="758"/>
      <c r="G21" s="758"/>
      <c r="H21" s="758"/>
      <c r="I21" s="758"/>
      <c r="J21" s="758"/>
      <c r="K21" s="743"/>
    </row>
    <row r="22" spans="1:11">
      <c r="A22" s="761"/>
    </row>
    <row r="23" spans="1:11">
      <c r="A23" s="761" t="s">
        <v>643</v>
      </c>
      <c r="B23" t="s">
        <v>715</v>
      </c>
    </row>
    <row r="24" spans="1:11" ht="13.5" thickBot="1">
      <c r="A24" s="767"/>
      <c r="B24" s="758" t="s">
        <v>649</v>
      </c>
      <c r="C24" s="758"/>
      <c r="D24" s="758"/>
      <c r="E24" s="758"/>
      <c r="F24" s="758"/>
      <c r="G24" s="758"/>
      <c r="H24" s="758"/>
      <c r="I24" s="758"/>
      <c r="J24" s="758"/>
      <c r="K24" s="743"/>
    </row>
    <row r="25" spans="1:11">
      <c r="A25" s="768"/>
      <c r="B25" s="743"/>
      <c r="C25" s="743"/>
      <c r="D25" s="743"/>
      <c r="E25" s="743"/>
      <c r="F25" s="743"/>
      <c r="G25" s="743"/>
      <c r="H25" s="743"/>
    </row>
    <row r="26" spans="1:11">
      <c r="A26" s="768" t="s">
        <v>558</v>
      </c>
      <c r="B26" s="769" t="s">
        <v>648</v>
      </c>
      <c r="C26" s="743"/>
      <c r="D26" s="743"/>
      <c r="E26" s="743"/>
      <c r="F26" s="743"/>
      <c r="G26" s="743"/>
      <c r="H26" s="743"/>
    </row>
    <row r="27" spans="1:11" ht="13.5" thickBot="1">
      <c r="A27" s="767"/>
      <c r="B27" s="770" t="s">
        <v>722</v>
      </c>
      <c r="C27" s="758"/>
      <c r="D27" s="758"/>
      <c r="E27" s="758"/>
      <c r="F27" s="758"/>
      <c r="G27" s="758"/>
      <c r="H27" s="758"/>
      <c r="I27" s="758"/>
      <c r="J27" s="758"/>
      <c r="K27" s="743"/>
    </row>
    <row r="28" spans="1:11">
      <c r="A28" s="761"/>
    </row>
    <row r="29" spans="1:11">
      <c r="A29" s="761" t="s">
        <v>723</v>
      </c>
      <c r="B29" t="s">
        <v>724</v>
      </c>
    </row>
    <row r="30" spans="1:11">
      <c r="A30" s="761"/>
      <c r="B30" t="s">
        <v>725</v>
      </c>
    </row>
    <row r="31" spans="1:11" ht="13.5" thickBot="1">
      <c r="A31" s="767"/>
      <c r="B31" s="758" t="s">
        <v>654</v>
      </c>
      <c r="C31" s="758"/>
      <c r="D31" s="758"/>
      <c r="E31" s="758"/>
      <c r="F31" s="758"/>
      <c r="G31" s="758"/>
      <c r="H31" s="758"/>
      <c r="I31" s="758"/>
      <c r="J31" s="758"/>
      <c r="K31" s="743"/>
    </row>
    <row r="32" spans="1:11">
      <c r="A32" s="761"/>
    </row>
    <row r="33" spans="1:11" ht="13.5" thickBot="1">
      <c r="A33" s="767" t="s">
        <v>655</v>
      </c>
      <c r="B33" s="758" t="s">
        <v>726</v>
      </c>
      <c r="C33" s="758"/>
      <c r="D33" s="758"/>
      <c r="E33" s="758"/>
      <c r="F33" s="758"/>
      <c r="G33" s="758"/>
      <c r="H33" s="758"/>
      <c r="I33" s="758"/>
      <c r="J33" s="758"/>
      <c r="K33" s="743"/>
    </row>
    <row r="34" spans="1:11">
      <c r="A34" s="761"/>
    </row>
    <row r="35" spans="1:11">
      <c r="A35" s="761" t="s">
        <v>727</v>
      </c>
      <c r="B35" t="s">
        <v>658</v>
      </c>
    </row>
    <row r="36" spans="1:11" ht="13.5" thickBot="1">
      <c r="A36" s="767"/>
      <c r="B36" s="758" t="s">
        <v>693</v>
      </c>
      <c r="C36" s="758"/>
      <c r="D36" s="758"/>
      <c r="E36" s="758"/>
      <c r="F36" s="758"/>
      <c r="G36" s="758"/>
      <c r="H36" s="758"/>
      <c r="I36" s="758"/>
      <c r="J36" s="758"/>
      <c r="K36" s="743"/>
    </row>
    <row r="37" spans="1:11">
      <c r="A37" s="761"/>
    </row>
    <row r="38" spans="1:11">
      <c r="A38" s="762" t="s">
        <v>696</v>
      </c>
    </row>
    <row r="39" spans="1:11">
      <c r="A39" t="s">
        <v>667</v>
      </c>
    </row>
    <row r="40" spans="1:11">
      <c r="A40" t="s">
        <v>668</v>
      </c>
    </row>
    <row r="42" spans="1:11">
      <c r="A42" t="s">
        <v>669</v>
      </c>
    </row>
    <row r="44" spans="1:11">
      <c r="A44" t="s">
        <v>670</v>
      </c>
    </row>
    <row r="45" spans="1:11">
      <c r="A45" t="s">
        <v>703</v>
      </c>
    </row>
    <row r="47" spans="1:11">
      <c r="A47" t="s">
        <v>704</v>
      </c>
    </row>
    <row r="48" spans="1:11">
      <c r="A48" t="s">
        <v>705</v>
      </c>
    </row>
    <row r="66" spans="2:11">
      <c r="B66" s="773">
        <f>SUM(B6:B9)</f>
        <v>43.1</v>
      </c>
      <c r="C66" s="621">
        <f>SUM(C6:C10)</f>
        <v>1983021</v>
      </c>
      <c r="F66" s="773">
        <f>SUM(F6:F9)</f>
        <v>43</v>
      </c>
      <c r="G66" s="621">
        <f>SUM(G6:G10)</f>
        <v>1992827</v>
      </c>
      <c r="J66" s="773">
        <f>SUM(J6:J9)</f>
        <v>41.1</v>
      </c>
      <c r="K66" s="621">
        <f>SUM(K6:K10)</f>
        <v>1952981</v>
      </c>
    </row>
  </sheetData>
  <sheetProtection password="CC11" sheet="1" objects="1" scenarios="1"/>
  <mergeCells count="4">
    <mergeCell ref="A2:L2"/>
    <mergeCell ref="B4:D4"/>
    <mergeCell ref="F4:H4"/>
    <mergeCell ref="J4:L4"/>
  </mergeCells>
  <dataValidations count="2">
    <dataValidation type="decimal" operator="greaterThanOrEqual" showInputMessage="1" showErrorMessage="1" errorTitle="Invalid Data Entry" error="Please enter a positive number (up to a 10th of a decimal) or press the delete key or enter zero." sqref="B6:B9 F6:F9 J6:J9">
      <formula1>0</formula1>
    </dataValidation>
    <dataValidation type="whole" operator="greaterThanOrEqual" showInputMessage="1" showErrorMessage="1" errorTitle="Invalid Data Entry" error="Please enter a whole, positive number or press the delete key or enter zero." sqref="C6:C10 G6:G10 K6:K10">
      <formula1>0</formula1>
    </dataValidation>
  </dataValidations>
  <hyperlinks>
    <hyperlink ref="M1" location="Contents!A1" display="Return to Contents"/>
  </hyperlinks>
  <pageMargins left="0.7" right="0.7" top="0.75" bottom="0.75" header="0.3" footer="0.3"/>
  <pageSetup scale="83" orientation="landscape"/>
  <headerFooter>
    <oddFooter>&amp;L&amp;D  &amp;T&amp;CSalaries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S46"/>
  <sheetViews>
    <sheetView workbookViewId="0">
      <selection activeCell="E30" sqref="E30"/>
    </sheetView>
  </sheetViews>
  <sheetFormatPr defaultColWidth="8.85546875" defaultRowHeight="12.75"/>
  <cols>
    <col min="1" max="1" width="6.28515625" customWidth="1"/>
    <col min="2" max="2" width="5.42578125" customWidth="1"/>
    <col min="3" max="4" width="8.85546875" customWidth="1"/>
    <col min="5" max="5" width="10.42578125" customWidth="1"/>
    <col min="6" max="9" width="8.85546875" customWidth="1"/>
    <col min="10" max="10" width="6.7109375" customWidth="1"/>
    <col min="11" max="11" width="2.42578125" customWidth="1"/>
    <col min="12" max="16" width="8.85546875" customWidth="1"/>
    <col min="17" max="17" width="1.42578125" customWidth="1"/>
  </cols>
  <sheetData>
    <row r="1" spans="1:13">
      <c r="A1" s="739"/>
      <c r="B1" s="740"/>
      <c r="C1" s="740"/>
      <c r="D1" s="740"/>
      <c r="E1" s="740"/>
      <c r="F1" s="740"/>
      <c r="G1" s="740"/>
      <c r="H1" s="740"/>
      <c r="I1" s="740"/>
      <c r="J1" s="741"/>
      <c r="M1" s="480" t="s">
        <v>616</v>
      </c>
    </row>
    <row r="2" spans="1:13">
      <c r="A2" s="742"/>
      <c r="B2" s="743"/>
      <c r="C2" s="743"/>
      <c r="D2" s="743"/>
      <c r="E2" s="743"/>
      <c r="F2" s="743"/>
      <c r="G2" s="743"/>
      <c r="H2" s="743"/>
      <c r="I2" s="743"/>
      <c r="J2" s="744"/>
    </row>
    <row r="3" spans="1:13">
      <c r="A3" s="742"/>
      <c r="B3" s="743"/>
      <c r="C3" s="743"/>
      <c r="D3" s="743"/>
      <c r="E3" s="743"/>
      <c r="F3" s="743"/>
      <c r="G3" s="743"/>
      <c r="H3" s="743"/>
      <c r="I3" s="743"/>
      <c r="J3" s="744"/>
    </row>
    <row r="4" spans="1:13">
      <c r="A4" s="742"/>
      <c r="B4" s="743"/>
      <c r="C4" s="743"/>
      <c r="D4" s="743"/>
      <c r="E4" s="743"/>
      <c r="F4" s="743"/>
      <c r="G4" s="743"/>
      <c r="H4" s="743"/>
      <c r="I4" s="743"/>
      <c r="J4" s="744"/>
    </row>
    <row r="5" spans="1:13">
      <c r="A5" s="742"/>
      <c r="B5" s="743"/>
      <c r="C5" s="743"/>
      <c r="D5" s="743"/>
      <c r="E5" s="743"/>
      <c r="F5" s="743"/>
      <c r="G5" s="743"/>
      <c r="H5" s="743"/>
      <c r="I5" s="743"/>
      <c r="J5" s="744"/>
    </row>
    <row r="6" spans="1:13">
      <c r="A6" s="745"/>
      <c r="B6" s="746"/>
      <c r="C6" s="746"/>
      <c r="D6" s="746"/>
      <c r="E6" s="746"/>
      <c r="F6" s="746"/>
      <c r="G6" s="746"/>
      <c r="H6" s="746"/>
      <c r="I6" s="746"/>
      <c r="J6" s="747"/>
    </row>
    <row r="7" spans="1:13">
      <c r="A7" s="745"/>
      <c r="B7" s="746"/>
      <c r="C7" s="746"/>
      <c r="D7" s="746"/>
      <c r="E7" s="746"/>
      <c r="F7" s="746"/>
      <c r="G7" s="746"/>
      <c r="H7" s="746"/>
      <c r="I7" s="746"/>
      <c r="J7" s="747"/>
    </row>
    <row r="8" spans="1:13">
      <c r="A8" s="745"/>
      <c r="B8" s="746"/>
      <c r="C8" s="746"/>
      <c r="D8" s="746"/>
      <c r="E8" s="746"/>
      <c r="F8" s="746"/>
      <c r="G8" s="746"/>
      <c r="H8" s="746"/>
      <c r="I8" s="746"/>
      <c r="J8" s="747"/>
    </row>
    <row r="9" spans="1:13">
      <c r="A9" s="745"/>
      <c r="B9" s="746"/>
      <c r="C9" s="746"/>
      <c r="D9" s="746"/>
      <c r="E9" s="746"/>
      <c r="F9" s="746"/>
      <c r="G9" s="746"/>
      <c r="H9" s="746"/>
      <c r="I9" s="746"/>
      <c r="J9" s="747"/>
    </row>
    <row r="10" spans="1:13">
      <c r="A10" s="745"/>
      <c r="B10" s="746"/>
      <c r="C10" s="746"/>
      <c r="D10" s="746"/>
      <c r="E10" s="746"/>
      <c r="F10" s="746"/>
      <c r="G10" s="746"/>
      <c r="H10" s="746"/>
      <c r="I10" s="746"/>
      <c r="J10" s="747"/>
    </row>
    <row r="11" spans="1:13">
      <c r="A11" s="745"/>
      <c r="B11" s="746"/>
      <c r="C11" s="746"/>
      <c r="D11" s="746"/>
      <c r="E11" s="746"/>
      <c r="F11" s="746"/>
      <c r="G11" s="746"/>
      <c r="H11" s="746"/>
      <c r="I11" s="746"/>
      <c r="J11" s="747"/>
    </row>
    <row r="12" spans="1:13">
      <c r="A12" s="745"/>
      <c r="B12" s="746"/>
      <c r="C12" s="746"/>
      <c r="D12" s="746"/>
      <c r="E12" s="746"/>
      <c r="F12" s="746"/>
      <c r="G12" s="746"/>
      <c r="H12" s="746"/>
      <c r="I12" s="746"/>
      <c r="J12" s="747"/>
    </row>
    <row r="13" spans="1:13">
      <c r="A13" s="745"/>
      <c r="B13" s="746"/>
      <c r="C13" s="746"/>
      <c r="D13" s="746"/>
      <c r="E13" s="746"/>
      <c r="F13" s="746"/>
      <c r="G13" s="746"/>
      <c r="H13" s="746"/>
      <c r="I13" s="746"/>
      <c r="J13" s="747"/>
    </row>
    <row r="14" spans="1:13">
      <c r="A14" s="745"/>
      <c r="B14" s="746"/>
      <c r="C14" s="746"/>
      <c r="D14" s="746"/>
      <c r="E14" s="746"/>
      <c r="F14" s="746"/>
      <c r="G14" s="746"/>
      <c r="H14" s="746"/>
      <c r="I14" s="746"/>
      <c r="J14" s="747"/>
    </row>
    <row r="15" spans="1:13">
      <c r="A15" s="745"/>
      <c r="B15" s="746"/>
      <c r="C15" s="746"/>
      <c r="D15" s="746"/>
      <c r="E15" s="746"/>
      <c r="F15" s="746"/>
      <c r="G15" s="746"/>
      <c r="H15" s="746"/>
      <c r="I15" s="746"/>
      <c r="J15" s="747"/>
    </row>
    <row r="16" spans="1:13">
      <c r="A16" s="745"/>
      <c r="B16" s="746"/>
      <c r="C16" s="746"/>
      <c r="D16" s="746"/>
      <c r="E16" s="746"/>
      <c r="F16" s="746"/>
      <c r="G16" s="746"/>
      <c r="H16" s="746"/>
      <c r="I16" s="746"/>
      <c r="J16" s="747"/>
    </row>
    <row r="17" spans="1:19">
      <c r="A17" s="745"/>
      <c r="B17" s="746"/>
      <c r="C17" s="746"/>
      <c r="D17" s="746"/>
      <c r="E17" s="746"/>
      <c r="F17" s="746"/>
      <c r="G17" s="746"/>
      <c r="H17" s="746"/>
      <c r="I17" s="746"/>
      <c r="J17" s="747"/>
    </row>
    <row r="18" spans="1:19">
      <c r="A18" s="745"/>
      <c r="B18" s="746"/>
      <c r="C18" s="746"/>
      <c r="D18" s="746"/>
      <c r="E18" s="746"/>
      <c r="F18" s="746"/>
      <c r="G18" s="746"/>
      <c r="H18" s="746"/>
      <c r="I18" s="746"/>
      <c r="J18" s="747"/>
    </row>
    <row r="19" spans="1:19">
      <c r="A19" s="745"/>
      <c r="B19" s="746"/>
      <c r="C19" s="746"/>
      <c r="D19" s="746"/>
      <c r="E19" s="746"/>
      <c r="F19" s="746"/>
      <c r="G19" s="746"/>
      <c r="H19" s="746"/>
      <c r="I19" s="746"/>
      <c r="J19" s="747"/>
    </row>
    <row r="20" spans="1:19">
      <c r="A20" s="745"/>
      <c r="B20" s="746"/>
      <c r="C20" s="746"/>
      <c r="D20" s="746"/>
      <c r="E20" s="746"/>
      <c r="F20" s="746"/>
      <c r="G20" s="746"/>
      <c r="H20" s="746"/>
      <c r="I20" s="746"/>
      <c r="J20" s="747"/>
    </row>
    <row r="21" spans="1:19">
      <c r="A21" s="745"/>
      <c r="B21" s="746"/>
      <c r="C21" s="746"/>
      <c r="D21" s="746"/>
      <c r="E21" s="746"/>
      <c r="F21" s="746"/>
      <c r="G21" s="746"/>
      <c r="H21" s="746"/>
      <c r="I21" s="746"/>
      <c r="J21" s="747"/>
    </row>
    <row r="22" spans="1:19">
      <c r="A22" s="745"/>
      <c r="B22" s="746"/>
      <c r="C22" s="746"/>
      <c r="D22" s="746"/>
      <c r="E22" s="746"/>
      <c r="F22" s="746"/>
      <c r="G22" s="746"/>
      <c r="H22" s="746"/>
      <c r="I22" s="746"/>
      <c r="J22" s="747"/>
    </row>
    <row r="23" spans="1:19">
      <c r="A23" s="745"/>
      <c r="B23" s="746"/>
      <c r="C23" s="746"/>
      <c r="D23" s="746"/>
      <c r="E23" s="746"/>
      <c r="F23" s="746"/>
      <c r="G23" s="746"/>
      <c r="H23" s="746"/>
      <c r="I23" s="746"/>
      <c r="J23" s="747"/>
    </row>
    <row r="24" spans="1:19" ht="51" customHeight="1">
      <c r="A24" s="745"/>
      <c r="B24" s="746"/>
      <c r="C24" s="788" t="s">
        <v>697</v>
      </c>
      <c r="D24" s="788"/>
      <c r="E24" s="788"/>
      <c r="F24" s="788"/>
      <c r="G24" s="788"/>
      <c r="H24" s="788"/>
      <c r="I24" s="788"/>
      <c r="J24" s="747"/>
    </row>
    <row r="25" spans="1:19">
      <c r="A25" s="745"/>
      <c r="B25" s="746"/>
      <c r="C25" s="746"/>
      <c r="D25" s="746"/>
      <c r="E25" s="746"/>
      <c r="F25" s="746"/>
      <c r="G25" s="746"/>
      <c r="H25" s="746"/>
      <c r="I25" s="746"/>
      <c r="J25" s="747"/>
    </row>
    <row r="26" spans="1:19">
      <c r="A26" s="745"/>
      <c r="B26" s="746"/>
      <c r="C26" s="746"/>
      <c r="D26" s="746"/>
      <c r="E26" s="746"/>
      <c r="F26" s="746"/>
      <c r="G26" s="746"/>
      <c r="H26" s="746"/>
      <c r="I26" s="746"/>
      <c r="J26" s="747"/>
    </row>
    <row r="27" spans="1:19">
      <c r="A27" s="745"/>
      <c r="B27" s="746"/>
      <c r="C27" s="746"/>
      <c r="D27" s="746"/>
      <c r="E27" s="746"/>
      <c r="F27" s="746"/>
      <c r="G27" s="746"/>
      <c r="H27" s="746"/>
      <c r="I27" s="746"/>
      <c r="J27" s="747"/>
    </row>
    <row r="28" spans="1:19" ht="20.25">
      <c r="A28" s="745"/>
      <c r="B28" s="746"/>
      <c r="C28" s="748"/>
      <c r="D28" s="749" t="s">
        <v>698</v>
      </c>
      <c r="E28" s="750" t="str">
        <f>[2]OPEN!B3</f>
        <v>395 - LaCrosse</v>
      </c>
      <c r="F28" s="746"/>
      <c r="G28" s="746"/>
      <c r="H28" s="746"/>
      <c r="I28" s="746"/>
      <c r="J28" s="747"/>
    </row>
    <row r="29" spans="1:19">
      <c r="A29" s="745"/>
      <c r="B29" s="746"/>
      <c r="C29" s="746"/>
      <c r="D29" s="746"/>
      <c r="E29" s="746"/>
      <c r="F29" s="746"/>
      <c r="G29" s="746"/>
      <c r="H29" s="746"/>
      <c r="I29" s="746"/>
      <c r="J29" s="747"/>
    </row>
    <row r="30" spans="1:19" ht="15.75">
      <c r="A30" s="745"/>
      <c r="B30" s="746"/>
      <c r="C30" s="746"/>
      <c r="D30" s="749" t="s">
        <v>699</v>
      </c>
      <c r="E30" s="746"/>
      <c r="F30" s="746"/>
      <c r="G30" s="746"/>
      <c r="H30" s="746"/>
      <c r="I30" s="746"/>
      <c r="J30" s="747"/>
      <c r="K30" s="751"/>
      <c r="L30" s="752" t="s">
        <v>701</v>
      </c>
      <c r="M30" s="753"/>
      <c r="N30" s="753"/>
      <c r="O30" s="753"/>
      <c r="P30" s="753"/>
      <c r="Q30" s="760"/>
      <c r="R30" s="760"/>
      <c r="S30" s="760"/>
    </row>
    <row r="31" spans="1:19">
      <c r="A31" s="745"/>
      <c r="B31" s="746"/>
      <c r="C31" s="746"/>
      <c r="D31" s="746"/>
      <c r="E31" s="746"/>
      <c r="F31" s="746"/>
      <c r="G31" s="746"/>
      <c r="H31" s="746"/>
      <c r="I31" s="746"/>
      <c r="J31" s="747"/>
      <c r="K31" s="754"/>
      <c r="L31" s="755" t="s">
        <v>702</v>
      </c>
      <c r="M31" s="753"/>
      <c r="N31" s="753"/>
      <c r="O31" s="753"/>
      <c r="P31" s="753"/>
      <c r="Q31" s="760"/>
      <c r="R31" s="760"/>
      <c r="S31" s="760"/>
    </row>
    <row r="32" spans="1:19" ht="15.75">
      <c r="A32" s="745"/>
      <c r="B32" s="746"/>
      <c r="C32" s="746"/>
      <c r="D32" s="749" t="s">
        <v>683</v>
      </c>
      <c r="E32" s="789">
        <f>IF(Headings!B27="","",Headings!B27)</f>
        <v>40770</v>
      </c>
      <c r="F32" s="789"/>
      <c r="G32" s="789"/>
      <c r="H32" s="746"/>
      <c r="I32" s="746"/>
      <c r="J32" s="747"/>
      <c r="K32" s="754"/>
      <c r="L32" s="755" t="s">
        <v>700</v>
      </c>
      <c r="M32" s="753"/>
      <c r="N32" s="753"/>
      <c r="O32" s="753"/>
      <c r="P32" s="753"/>
      <c r="Q32" s="760"/>
      <c r="R32" s="760"/>
      <c r="S32" s="760"/>
    </row>
    <row r="33" spans="1:19">
      <c r="A33" s="745"/>
      <c r="B33" s="746"/>
      <c r="C33" s="746"/>
      <c r="D33" s="746"/>
      <c r="E33" s="746"/>
      <c r="F33" s="746"/>
      <c r="G33" s="746"/>
      <c r="H33" s="746"/>
      <c r="I33" s="746"/>
      <c r="J33" s="747"/>
      <c r="K33" s="754"/>
      <c r="L33" s="756" t="s">
        <v>677</v>
      </c>
      <c r="M33" s="753"/>
      <c r="N33" s="753"/>
      <c r="O33" s="753"/>
      <c r="P33" s="753"/>
      <c r="Q33" s="760"/>
      <c r="R33" s="760"/>
      <c r="S33" s="760"/>
    </row>
    <row r="34" spans="1:19">
      <c r="A34" s="745"/>
      <c r="B34" s="746"/>
      <c r="C34" s="746"/>
      <c r="D34" s="746"/>
      <c r="E34" s="746"/>
      <c r="F34" s="746"/>
      <c r="G34" s="746"/>
      <c r="H34" s="746"/>
      <c r="I34" s="746"/>
      <c r="J34" s="747"/>
      <c r="L34" s="756"/>
      <c r="M34" s="753"/>
      <c r="N34" s="753"/>
      <c r="O34" s="753"/>
      <c r="P34" s="753"/>
      <c r="Q34" s="760"/>
      <c r="R34" s="760"/>
      <c r="S34" s="760"/>
    </row>
    <row r="35" spans="1:19">
      <c r="A35" s="745"/>
      <c r="B35" s="746"/>
      <c r="C35" s="746"/>
      <c r="D35" s="746"/>
      <c r="E35" s="746"/>
      <c r="F35" s="746"/>
      <c r="G35" s="746"/>
      <c r="H35" s="746"/>
      <c r="I35" s="746"/>
      <c r="J35" s="747"/>
      <c r="L35" s="607"/>
      <c r="M35" s="607"/>
      <c r="N35" s="607"/>
      <c r="O35" s="607"/>
      <c r="P35" s="607"/>
      <c r="Q35" s="607"/>
    </row>
    <row r="36" spans="1:19">
      <c r="A36" s="745"/>
      <c r="B36" s="746"/>
      <c r="C36" s="746"/>
      <c r="D36" s="746"/>
      <c r="E36" s="746"/>
      <c r="F36" s="746"/>
      <c r="G36" s="746"/>
      <c r="H36" s="746"/>
      <c r="I36" s="746"/>
      <c r="J36" s="747"/>
    </row>
    <row r="37" spans="1:19">
      <c r="A37" s="745"/>
      <c r="B37" s="746"/>
      <c r="C37" s="746"/>
      <c r="D37" s="746"/>
      <c r="E37" s="746"/>
      <c r="F37" s="746"/>
      <c r="G37" s="746"/>
      <c r="H37" s="746"/>
      <c r="I37" s="746"/>
      <c r="J37" s="747"/>
    </row>
    <row r="38" spans="1:19">
      <c r="A38" s="745"/>
      <c r="B38" s="746"/>
      <c r="C38" s="746"/>
      <c r="D38" s="746"/>
      <c r="E38" s="746"/>
      <c r="F38" s="746"/>
      <c r="G38" s="746"/>
      <c r="H38" s="746"/>
      <c r="I38" s="746"/>
      <c r="J38" s="747"/>
    </row>
    <row r="39" spans="1:19">
      <c r="A39" s="745"/>
      <c r="B39" s="746"/>
      <c r="C39" s="746"/>
      <c r="D39" s="746"/>
      <c r="E39" s="746"/>
      <c r="F39" s="746"/>
      <c r="G39" s="746"/>
      <c r="H39" s="746"/>
      <c r="I39" s="746"/>
      <c r="J39" s="747"/>
    </row>
    <row r="40" spans="1:19">
      <c r="A40" s="745"/>
      <c r="B40" s="746"/>
      <c r="C40" s="746"/>
      <c r="D40" s="746"/>
      <c r="E40" s="746"/>
      <c r="F40" s="746"/>
      <c r="G40" s="746"/>
      <c r="H40" s="746"/>
      <c r="I40" s="746"/>
      <c r="J40" s="747"/>
    </row>
    <row r="41" spans="1:19">
      <c r="A41" s="745"/>
      <c r="B41" s="746"/>
      <c r="C41" s="746"/>
      <c r="D41" s="746"/>
      <c r="E41" s="746"/>
      <c r="F41" s="746"/>
      <c r="G41" s="746"/>
      <c r="H41" s="746"/>
      <c r="I41" s="746"/>
      <c r="J41" s="747"/>
    </row>
    <row r="42" spans="1:19">
      <c r="A42" s="745"/>
      <c r="B42" s="746"/>
      <c r="C42" s="746"/>
      <c r="D42" s="746"/>
      <c r="E42" s="746"/>
      <c r="F42" s="746"/>
      <c r="G42" s="746"/>
      <c r="H42" s="746"/>
      <c r="I42" s="746"/>
      <c r="J42" s="747"/>
    </row>
    <row r="43" spans="1:19">
      <c r="A43" s="745"/>
      <c r="B43" s="746"/>
      <c r="C43" s="746"/>
      <c r="D43" s="746"/>
      <c r="E43" s="746"/>
      <c r="F43" s="746"/>
      <c r="G43" s="746"/>
      <c r="H43" s="746"/>
      <c r="I43" s="746"/>
      <c r="J43" s="747"/>
    </row>
    <row r="44" spans="1:19">
      <c r="A44" s="742"/>
      <c r="B44" s="743"/>
      <c r="C44" s="743"/>
      <c r="D44" s="743"/>
      <c r="E44" s="743"/>
      <c r="F44" s="743"/>
      <c r="G44" s="743"/>
      <c r="H44" s="743"/>
      <c r="I44" s="743"/>
      <c r="J44" s="744"/>
    </row>
    <row r="45" spans="1:19">
      <c r="A45" s="742"/>
      <c r="B45" s="743"/>
      <c r="C45" s="743"/>
      <c r="D45" s="743"/>
      <c r="E45" s="743"/>
      <c r="F45" s="743"/>
      <c r="G45" s="743"/>
      <c r="H45" s="743"/>
      <c r="I45" s="743"/>
      <c r="J45" s="744"/>
    </row>
    <row r="46" spans="1:19" ht="13.5" thickBot="1">
      <c r="A46" s="757"/>
      <c r="B46" s="758"/>
      <c r="C46" s="758"/>
      <c r="D46" s="758"/>
      <c r="E46" s="758"/>
      <c r="F46" s="758"/>
      <c r="G46" s="758"/>
      <c r="H46" s="758"/>
      <c r="I46" s="758"/>
      <c r="J46" s="759"/>
    </row>
  </sheetData>
  <sheetProtection password="CC1B" sheet="1" objects="1" scenarios="1"/>
  <mergeCells count="2">
    <mergeCell ref="C24:I24"/>
    <mergeCell ref="E32:G32"/>
  </mergeCells>
  <hyperlinks>
    <hyperlink ref="M1" location="Contents!A1" display="Return to Contents"/>
  </hyperlink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R1043"/>
  <sheetViews>
    <sheetView topLeftCell="A177" zoomScale="115" zoomScaleNormal="100" workbookViewId="0">
      <selection activeCell="M212" sqref="M212"/>
    </sheetView>
  </sheetViews>
  <sheetFormatPr defaultColWidth="12.42578125" defaultRowHeight="14.25"/>
  <cols>
    <col min="1" max="1" width="4.140625" style="1" customWidth="1"/>
    <col min="2" max="2" width="35.28515625" style="1" customWidth="1"/>
    <col min="3" max="3" width="7" style="1" customWidth="1"/>
    <col min="4" max="4" width="2.7109375" style="1" customWidth="1"/>
    <col min="5" max="5" width="16" style="1" customWidth="1"/>
    <col min="6" max="6" width="2.140625" style="1" customWidth="1"/>
    <col min="7" max="7" width="13.85546875" style="1" customWidth="1"/>
    <col min="8" max="8" width="1.85546875" style="1" customWidth="1"/>
    <col min="9" max="9" width="15.7109375" style="1" customWidth="1"/>
    <col min="10" max="10" width="1.7109375" style="1" customWidth="1"/>
    <col min="11" max="11" width="14.85546875" style="1" customWidth="1"/>
    <col min="12" max="12" width="2.28515625" style="1" customWidth="1"/>
    <col min="13" max="13" width="13.7109375" style="1" customWidth="1"/>
    <col min="14" max="14" width="2.28515625" style="1" customWidth="1"/>
    <col min="15" max="15" width="20.7109375" style="1" customWidth="1"/>
    <col min="16" max="16" width="10.140625" style="1" customWidth="1"/>
    <col min="17" max="17" width="40.42578125" style="1" customWidth="1"/>
    <col min="18" max="18" width="13.28515625" style="1" customWidth="1"/>
    <col min="19" max="16384" width="12.42578125" style="1"/>
  </cols>
  <sheetData>
    <row r="1" spans="2:17" ht="12.75" customHeight="1">
      <c r="B1" s="1" t="s">
        <v>148</v>
      </c>
      <c r="M1" s="2" t="s">
        <v>149</v>
      </c>
      <c r="O1" s="480" t="s">
        <v>268</v>
      </c>
    </row>
    <row r="2" spans="2:17" ht="15">
      <c r="B2" s="3">
        <f>[2]OPEN!$N$3</f>
        <v>40664</v>
      </c>
      <c r="C2" s="4"/>
      <c r="D2" s="4"/>
      <c r="F2" s="5"/>
      <c r="G2" s="6" t="s">
        <v>150</v>
      </c>
      <c r="H2" s="6"/>
      <c r="I2" s="7" t="str">
        <f>[2]OPEN!$B$3</f>
        <v>395 - LaCrosse</v>
      </c>
      <c r="J2" s="8"/>
      <c r="K2" s="8"/>
      <c r="L2" s="6" t="s">
        <v>151</v>
      </c>
      <c r="M2" s="9">
        <f>[2]OPEN!$B$4</f>
        <v>395</v>
      </c>
    </row>
    <row r="3" spans="2:17" ht="15">
      <c r="F3" s="10" t="s">
        <v>152</v>
      </c>
      <c r="K3" s="6" t="s">
        <v>153</v>
      </c>
      <c r="M3" s="11" t="s">
        <v>154</v>
      </c>
    </row>
    <row r="4" spans="2:17" ht="3" customHeight="1">
      <c r="E4" s="12"/>
      <c r="F4" s="12"/>
      <c r="G4" s="12"/>
      <c r="H4" s="12"/>
      <c r="I4" s="12"/>
      <c r="J4" s="12"/>
      <c r="K4" s="13"/>
      <c r="L4" s="13"/>
      <c r="M4" s="12"/>
    </row>
    <row r="5" spans="2:17" ht="3" customHeight="1">
      <c r="E5" s="12"/>
      <c r="F5" s="12"/>
      <c r="G5" s="12"/>
      <c r="H5" s="12"/>
      <c r="I5" s="12"/>
      <c r="J5" s="12"/>
      <c r="K5" s="13"/>
      <c r="L5" s="13"/>
      <c r="M5" s="12"/>
    </row>
    <row r="6" spans="2:17" ht="12.75" customHeight="1">
      <c r="B6" s="12" t="str">
        <f>[2]OPEN!$N$2</f>
        <v>2011-2012</v>
      </c>
      <c r="C6" s="12"/>
      <c r="D6" s="12"/>
      <c r="E6" s="12"/>
      <c r="F6" s="12"/>
      <c r="G6" s="12"/>
      <c r="H6" s="12"/>
      <c r="I6" s="12"/>
      <c r="J6" s="12"/>
      <c r="K6" s="12"/>
      <c r="L6" s="12"/>
      <c r="M6" s="12"/>
    </row>
    <row r="7" spans="2:17" ht="12.75" customHeight="1">
      <c r="B7" s="12" t="s">
        <v>155</v>
      </c>
      <c r="C7" s="12"/>
      <c r="D7" s="12"/>
      <c r="E7" s="12"/>
      <c r="F7" s="12"/>
      <c r="G7" s="12"/>
      <c r="H7" s="12"/>
      <c r="I7" s="12"/>
      <c r="J7" s="12"/>
      <c r="K7" s="12"/>
      <c r="L7" s="12"/>
      <c r="M7" s="12"/>
    </row>
    <row r="8" spans="2:17" ht="12.75" customHeight="1">
      <c r="B8" s="12" t="s">
        <v>156</v>
      </c>
      <c r="C8" s="12"/>
      <c r="D8" s="12"/>
      <c r="E8" s="12"/>
      <c r="F8" s="12"/>
      <c r="G8" s="12"/>
      <c r="H8" s="12"/>
      <c r="I8" s="12"/>
      <c r="J8" s="12"/>
      <c r="K8" s="12"/>
      <c r="L8" s="12"/>
      <c r="M8" s="12"/>
    </row>
    <row r="9" spans="2:17" s="13" customFormat="1" ht="12.75" customHeight="1">
      <c r="B9" s="14" t="s">
        <v>157</v>
      </c>
      <c r="C9" s="14"/>
      <c r="D9" s="14"/>
      <c r="E9" s="12"/>
      <c r="F9" s="12"/>
      <c r="G9" s="12"/>
      <c r="H9" s="12"/>
      <c r="I9" s="12"/>
      <c r="J9" s="12"/>
      <c r="K9" s="12"/>
      <c r="L9" s="12"/>
      <c r="M9" s="12"/>
      <c r="N9" s="1"/>
      <c r="O9" s="1"/>
      <c r="P9" s="1"/>
      <c r="Q9" s="1"/>
    </row>
    <row r="10" spans="2:17" ht="3" customHeight="1"/>
    <row r="11" spans="2:17" ht="15">
      <c r="E11" s="10"/>
      <c r="F11" s="10"/>
      <c r="G11" s="10" t="s">
        <v>158</v>
      </c>
      <c r="H11" s="10"/>
      <c r="I11" s="10" t="s">
        <v>159</v>
      </c>
      <c r="J11" s="10"/>
      <c r="K11" s="10" t="s">
        <v>160</v>
      </c>
      <c r="L11" s="10"/>
      <c r="M11" s="10"/>
    </row>
    <row r="12" spans="2:17" ht="15">
      <c r="E12" s="10" t="s">
        <v>280</v>
      </c>
      <c r="F12" s="10"/>
      <c r="G12" s="10" t="s">
        <v>280</v>
      </c>
      <c r="H12" s="10"/>
      <c r="I12" s="10" t="s">
        <v>281</v>
      </c>
      <c r="J12" s="10"/>
      <c r="K12" s="10" t="s">
        <v>282</v>
      </c>
      <c r="L12" s="10"/>
      <c r="M12" s="10" t="s">
        <v>283</v>
      </c>
    </row>
    <row r="13" spans="2:17" ht="15">
      <c r="E13" s="10" t="s">
        <v>284</v>
      </c>
      <c r="F13" s="10"/>
      <c r="G13" s="10" t="s">
        <v>284</v>
      </c>
      <c r="H13" s="10"/>
      <c r="I13" s="10" t="s">
        <v>284</v>
      </c>
      <c r="J13" s="10"/>
      <c r="K13" s="10" t="str">
        <f>IF(M2=113,"Fund #1-USD 441","Fund #1")</f>
        <v>Fund #1</v>
      </c>
      <c r="L13" s="10"/>
      <c r="M13" s="10" t="str">
        <f>IF(M2=114,"Fund #406", "Fund")</f>
        <v>Fund</v>
      </c>
    </row>
    <row r="14" spans="2:17" ht="2.25" customHeight="1"/>
    <row r="15" spans="2:17">
      <c r="B15" s="1" t="str">
        <f>"1.  County Treasurer Balance 6/30/"&amp;[2]OPEN!$Q$5&amp; " *"</f>
        <v>1.  County Treasurer Balance 6/30/2011 *</v>
      </c>
      <c r="E15" s="15">
        <f>E196+E370+E548+E720+E892</f>
        <v>0</v>
      </c>
      <c r="F15" s="16"/>
      <c r="G15" s="15">
        <f>G196+G370+G548+G720+G892</f>
        <v>0</v>
      </c>
      <c r="H15" s="16"/>
      <c r="I15" s="15">
        <f>I196+I370+I548+I720+I892</f>
        <v>0</v>
      </c>
      <c r="J15" s="16"/>
      <c r="K15" s="15">
        <f>K196+K370+K548+K720+K892</f>
        <v>0</v>
      </c>
      <c r="L15" s="16"/>
      <c r="M15" s="15">
        <f>M196+M370+M548+M720+M892</f>
        <v>0</v>
      </c>
    </row>
    <row r="16" spans="2:17" ht="3.75" customHeight="1">
      <c r="B16" s="17"/>
      <c r="C16" s="17"/>
      <c r="D16" s="17"/>
      <c r="E16" s="18"/>
      <c r="F16" s="18"/>
      <c r="G16" s="18"/>
      <c r="H16" s="18"/>
      <c r="I16" s="18"/>
      <c r="J16" s="18"/>
      <c r="K16" s="18"/>
      <c r="L16" s="18"/>
      <c r="M16" s="18"/>
    </row>
    <row r="17" spans="2:13">
      <c r="B17" s="1" t="str">
        <f>"2.  "&amp;[2]OPEN!$P$5&amp;" Actual Taxes Levied*"</f>
        <v>2.  2010 Actual Taxes Levied*</v>
      </c>
      <c r="E17" s="15">
        <f>E198+E372+E550+E722+E894</f>
        <v>367900</v>
      </c>
      <c r="F17" s="16"/>
      <c r="G17" s="15">
        <f>G198+G372+G550+G722+G894</f>
        <v>456056</v>
      </c>
      <c r="H17" s="16"/>
      <c r="I17" s="15">
        <f>I198+I372+I550+I722+I894</f>
        <v>61839</v>
      </c>
      <c r="J17" s="16"/>
      <c r="K17" s="15">
        <f>K198+K372+K550+K722+K894</f>
        <v>0</v>
      </c>
      <c r="L17" s="16"/>
      <c r="M17" s="15">
        <f>M198+M372+M550+M722+M894</f>
        <v>0</v>
      </c>
    </row>
    <row r="18" spans="2:13" ht="5.0999999999999996" customHeight="1">
      <c r="E18" s="16"/>
      <c r="F18" s="16"/>
      <c r="G18" s="16"/>
      <c r="H18" s="16"/>
      <c r="I18" s="16"/>
      <c r="J18" s="16"/>
      <c r="K18" s="16"/>
      <c r="L18" s="16"/>
      <c r="M18" s="16"/>
    </row>
    <row r="19" spans="2:13">
      <c r="B19" s="1" t="s">
        <v>285</v>
      </c>
      <c r="C19" s="19">
        <v>1</v>
      </c>
      <c r="E19" s="15">
        <f>SUM(E17*C19/100)</f>
        <v>3679</v>
      </c>
      <c r="F19" s="16"/>
      <c r="G19" s="15">
        <f>G17*$C$19/100</f>
        <v>4561</v>
      </c>
      <c r="H19" s="16"/>
      <c r="I19" s="15">
        <f>I17*$C$19/100</f>
        <v>618</v>
      </c>
      <c r="J19" s="16"/>
      <c r="K19" s="15">
        <f>K17*$C$19/100</f>
        <v>0</v>
      </c>
      <c r="L19" s="16"/>
      <c r="M19" s="15">
        <f>M17*$C$19/100</f>
        <v>0</v>
      </c>
    </row>
    <row r="20" spans="2:13" ht="5.0999999999999996" customHeight="1">
      <c r="E20" s="16"/>
      <c r="F20" s="16"/>
      <c r="G20" s="16"/>
      <c r="H20" s="16"/>
      <c r="I20" s="16"/>
      <c r="J20" s="16"/>
      <c r="K20" s="16"/>
      <c r="L20" s="16"/>
      <c r="M20" s="16"/>
    </row>
    <row r="21" spans="2:13">
      <c r="B21" s="1" t="str">
        <f>"4.  Less:  Jan. 20, "&amp; [2]OPEN!$Q$5&amp;" Taxes received**"</f>
        <v>4.  Less:  Jan. 20, 2011 Taxes received**</v>
      </c>
      <c r="C21" s="6"/>
      <c r="E21" s="15">
        <f>E202+E376+E554+E726+E898</f>
        <v>246121</v>
      </c>
      <c r="F21" s="16"/>
      <c r="G21" s="15">
        <f>G202+G376+G554+G726+G898</f>
        <v>300222</v>
      </c>
      <c r="H21" s="16"/>
      <c r="I21" s="15">
        <f>I202+I376+I554+I726+I898</f>
        <v>40705</v>
      </c>
      <c r="J21" s="16"/>
      <c r="K21" s="15">
        <f>K202+K376+K554+K726+K898</f>
        <v>0</v>
      </c>
      <c r="L21" s="16"/>
      <c r="M21" s="15">
        <f>M202+M376+M554+M726+M898</f>
        <v>0</v>
      </c>
    </row>
    <row r="22" spans="2:13" ht="5.0999999999999996" customHeight="1">
      <c r="E22" s="16"/>
      <c r="F22" s="16"/>
      <c r="G22" s="16"/>
      <c r="H22" s="16"/>
      <c r="I22" s="16"/>
      <c r="J22" s="16"/>
      <c r="K22" s="16"/>
      <c r="L22" s="16"/>
      <c r="M22" s="16"/>
    </row>
    <row r="23" spans="2:13">
      <c r="B23" s="1" t="str">
        <f>"5.  Less:  Mar. 20, "&amp;[2]OPEN!$Q$5&amp;"  Taxes received**"</f>
        <v>5.  Less:  Mar. 20, 2011  Taxes received**</v>
      </c>
      <c r="E23" s="15">
        <f>E204+E378+E556+E728+E900</f>
        <v>5205</v>
      </c>
      <c r="F23" s="16"/>
      <c r="G23" s="15">
        <f>G204+G378+G556+G728+G900</f>
        <v>8783</v>
      </c>
      <c r="H23" s="16"/>
      <c r="I23" s="15">
        <f>I204+I378+I556+I728+I900</f>
        <v>1191</v>
      </c>
      <c r="J23" s="16"/>
      <c r="K23" s="15">
        <f>K204+K378+K556+K728+K900</f>
        <v>0</v>
      </c>
      <c r="L23" s="16"/>
      <c r="M23" s="15">
        <f>M204+M378+M556+M728+M900</f>
        <v>0</v>
      </c>
    </row>
    <row r="24" spans="2:13" ht="5.0999999999999996" customHeight="1">
      <c r="E24" s="16"/>
      <c r="F24" s="16"/>
      <c r="G24" s="16"/>
      <c r="H24" s="16"/>
      <c r="I24" s="16"/>
      <c r="J24" s="16"/>
      <c r="K24" s="16"/>
      <c r="L24" s="16"/>
      <c r="M24" s="16"/>
    </row>
    <row r="25" spans="2:13">
      <c r="B25" s="1" t="str">
        <f>"6.  Less:  June 5,  "&amp;[2]OPEN!$Q$5&amp;" Taxes received**"</f>
        <v>6.  Less:  June 5,  2011 Taxes received**</v>
      </c>
      <c r="E25" s="15">
        <f>E206+E380+E558+E730+E902</f>
        <v>100898</v>
      </c>
      <c r="F25" s="16"/>
      <c r="G25" s="15">
        <f>G206+G380+G558+G730+G902</f>
        <v>125095</v>
      </c>
      <c r="H25" s="16"/>
      <c r="I25" s="15">
        <f>I206+I380+I558+I730+I902</f>
        <v>16960</v>
      </c>
      <c r="J25" s="16"/>
      <c r="K25" s="15">
        <f>K206+K380+K558+K730+K902</f>
        <v>0</v>
      </c>
      <c r="L25" s="16"/>
      <c r="M25" s="15">
        <f>M206+M380+M558+M730+M902</f>
        <v>0</v>
      </c>
    </row>
    <row r="26" spans="2:13" ht="5.0999999999999996" customHeight="1">
      <c r="E26" s="16"/>
      <c r="F26" s="16"/>
      <c r="G26" s="16"/>
      <c r="H26" s="16"/>
      <c r="I26" s="16"/>
      <c r="J26" s="16"/>
      <c r="K26" s="16"/>
      <c r="L26" s="16"/>
      <c r="M26" s="16"/>
    </row>
    <row r="27" spans="2:13">
      <c r="B27" s="1" t="s">
        <v>286</v>
      </c>
      <c r="E27" s="15">
        <f>E208+E382+E560+E732+E904</f>
        <v>0</v>
      </c>
      <c r="F27" s="16"/>
      <c r="G27" s="15">
        <f>G208+G382+G560+G732+G904</f>
        <v>0</v>
      </c>
      <c r="H27" s="16"/>
      <c r="I27" s="15">
        <f>I208+I382+I560+I732+I904</f>
        <v>0</v>
      </c>
      <c r="J27" s="16"/>
      <c r="K27" s="15">
        <f>K208+K382+K560+K732+K904</f>
        <v>0</v>
      </c>
      <c r="L27" s="16"/>
      <c r="M27" s="15">
        <f>M208+M382+M560+M732+M904</f>
        <v>0</v>
      </c>
    </row>
    <row r="28" spans="2:13" ht="5.0999999999999996" customHeight="1">
      <c r="E28" s="16"/>
      <c r="F28" s="16"/>
      <c r="G28" s="16"/>
      <c r="H28" s="16"/>
      <c r="I28" s="16"/>
      <c r="J28" s="16"/>
      <c r="K28" s="16"/>
      <c r="L28" s="16"/>
      <c r="M28" s="16"/>
    </row>
    <row r="29" spans="2:13">
      <c r="B29" s="1" t="s">
        <v>165</v>
      </c>
      <c r="E29" s="15">
        <f>E210+E384+E562+E734+E906</f>
        <v>0</v>
      </c>
      <c r="F29" s="16"/>
      <c r="G29" s="15">
        <f>G210+G384+G562+G734+G906</f>
        <v>0</v>
      </c>
      <c r="H29" s="16"/>
      <c r="I29" s="15">
        <f>I210+I384+I562+I734+I906</f>
        <v>0</v>
      </c>
      <c r="J29" s="16"/>
      <c r="K29" s="15">
        <f>K210+K384+K562+K734+K906</f>
        <v>0</v>
      </c>
      <c r="L29" s="16"/>
      <c r="M29" s="15">
        <f>M210+M384+M562+M734+M906</f>
        <v>0</v>
      </c>
    </row>
    <row r="30" spans="2:13" ht="15" customHeight="1">
      <c r="B30" s="1" t="s">
        <v>166</v>
      </c>
      <c r="E30" s="20">
        <f>E211+E385+E563+E735+E907</f>
        <v>0</v>
      </c>
      <c r="F30" s="16"/>
      <c r="G30" s="20">
        <f>G211+G385+G563+G735+G907</f>
        <v>0</v>
      </c>
      <c r="H30" s="16"/>
      <c r="I30" s="20">
        <f>I211+I385+I563+I735+I907</f>
        <v>0</v>
      </c>
      <c r="J30" s="16"/>
      <c r="K30" s="20">
        <f>K211+K385+K563+K735+K907</f>
        <v>0</v>
      </c>
      <c r="L30" s="16"/>
      <c r="M30" s="20">
        <f>M211+M385+M563+M735+M907</f>
        <v>0</v>
      </c>
    </row>
    <row r="31" spans="2:13">
      <c r="B31" s="1" t="s">
        <v>167</v>
      </c>
      <c r="E31" s="15">
        <f>SUM(E19:E30)</f>
        <v>355903</v>
      </c>
      <c r="F31" s="16"/>
      <c r="G31" s="15">
        <f>SUM(G19:G30)</f>
        <v>438661</v>
      </c>
      <c r="H31" s="16"/>
      <c r="I31" s="15">
        <f>SUM(I19:I30)</f>
        <v>59474</v>
      </c>
      <c r="J31" s="16"/>
      <c r="K31" s="15">
        <f>SUM(K19:K30)</f>
        <v>0</v>
      </c>
      <c r="L31" s="16"/>
      <c r="M31" s="15">
        <f>SUM(M19:M30)</f>
        <v>0</v>
      </c>
    </row>
    <row r="32" spans="2:13" ht="5.0999999999999996" customHeight="1">
      <c r="E32" s="16"/>
      <c r="F32" s="16"/>
      <c r="G32" s="16"/>
      <c r="H32" s="16"/>
      <c r="I32" s="16"/>
      <c r="J32" s="16"/>
      <c r="K32" s="16"/>
      <c r="L32" s="16"/>
      <c r="M32" s="16"/>
    </row>
    <row r="33" spans="2:18">
      <c r="B33" s="1" t="str">
        <f>"11. "&amp;[2]OPEN!$P$5&amp;" taxes receivable (taxes in process"</f>
        <v>11. 2010 taxes receivable (taxes in process</v>
      </c>
      <c r="E33" s="16"/>
      <c r="F33" s="16"/>
      <c r="G33" s="16"/>
      <c r="H33" s="16"/>
      <c r="I33" s="16"/>
      <c r="J33" s="16"/>
      <c r="K33" s="16"/>
      <c r="L33" s="16"/>
      <c r="M33" s="16"/>
    </row>
    <row r="34" spans="2:18">
      <c r="B34" s="1" t="str">
        <f>"     of collection 6/30/"&amp;[2]OPEN!$Q$5&amp;")(Line 2 less Line 10)"</f>
        <v xml:space="preserve">     of collection 6/30/2011)(Line 2 less Line 10)</v>
      </c>
      <c r="E34" s="15">
        <f>IF(E31&lt;=0,0,E17-E31)</f>
        <v>11997</v>
      </c>
      <c r="F34" s="16"/>
      <c r="G34" s="15">
        <f>IF(G31&lt;=0,0,G17-G31)</f>
        <v>17395</v>
      </c>
      <c r="H34" s="16"/>
      <c r="I34" s="15">
        <f>IF(I31&lt;=0,0,I17-I31)</f>
        <v>2365</v>
      </c>
      <c r="J34" s="16"/>
      <c r="K34" s="15">
        <f>IF(K31&lt;=0,0,(K17-K31))</f>
        <v>0</v>
      </c>
      <c r="L34" s="16"/>
      <c r="M34" s="15">
        <f>IF(M31&lt;=0,0,M17-M31)</f>
        <v>0</v>
      </c>
    </row>
    <row r="35" spans="2:18" ht="2.25" customHeight="1">
      <c r="E35" s="21"/>
      <c r="F35" s="16"/>
      <c r="G35" s="21"/>
      <c r="H35" s="16"/>
      <c r="I35" s="21"/>
      <c r="J35" s="16"/>
      <c r="K35" s="21"/>
      <c r="L35" s="16"/>
      <c r="M35" s="21"/>
    </row>
    <row r="36" spans="2:18">
      <c r="B36" s="1" t="s">
        <v>288</v>
      </c>
      <c r="E36" s="16"/>
      <c r="F36" s="16"/>
      <c r="G36" s="16"/>
      <c r="H36" s="16"/>
      <c r="I36" s="16"/>
      <c r="J36" s="16"/>
      <c r="K36" s="16"/>
      <c r="L36" s="16"/>
      <c r="M36" s="16"/>
    </row>
    <row r="37" spans="2:18">
      <c r="B37" s="1" t="s">
        <v>289</v>
      </c>
      <c r="E37" s="16"/>
      <c r="F37" s="16"/>
      <c r="G37" s="16"/>
      <c r="H37" s="16"/>
      <c r="I37" s="16"/>
      <c r="J37" s="16"/>
      <c r="K37" s="16"/>
      <c r="L37" s="16"/>
      <c r="M37" s="16"/>
    </row>
    <row r="38" spans="2:18">
      <c r="B38" s="1" t="str">
        <f>"     (7-1-"&amp;[2]OPEN!$Q$5&amp;" to 12-31-"&amp;[2]OPEN!$S$5&amp;") (Line 3 x 75%)"</f>
        <v xml:space="preserve">     (7-1-2011 to 12-31-2012) (Line 3 x 75%)</v>
      </c>
      <c r="E38" s="15">
        <f>SUM(E19*0.75)</f>
        <v>2759</v>
      </c>
      <c r="F38" s="16"/>
      <c r="G38" s="15">
        <f>SUM(G19*0.75)</f>
        <v>3421</v>
      </c>
      <c r="H38" s="16"/>
      <c r="I38" s="15">
        <f>SUM(I19*0.75)</f>
        <v>464</v>
      </c>
      <c r="J38" s="16"/>
      <c r="K38" s="15">
        <f>SUM(K19*0.75)</f>
        <v>0</v>
      </c>
      <c r="L38" s="16"/>
      <c r="M38" s="15">
        <f>SUM(M19*0.75)</f>
        <v>0</v>
      </c>
    </row>
    <row r="39" spans="2:18" ht="3" customHeight="1">
      <c r="B39" s="17"/>
      <c r="C39" s="17"/>
      <c r="D39" s="17"/>
      <c r="E39" s="22"/>
      <c r="F39" s="22"/>
      <c r="G39" s="22"/>
      <c r="H39" s="22"/>
      <c r="I39" s="22"/>
      <c r="J39" s="22"/>
      <c r="K39" s="22"/>
      <c r="L39" s="22"/>
      <c r="M39" s="22"/>
    </row>
    <row r="40" spans="2:18" ht="14.25" customHeight="1">
      <c r="B40" s="23" t="s">
        <v>29</v>
      </c>
      <c r="C40" s="24"/>
      <c r="D40" s="24"/>
      <c r="E40" s="25">
        <f>IF(E17&lt;&gt;0,(E21+E23+E25+E27+E29)/E17*100,0)</f>
        <v>95.739000000000004</v>
      </c>
      <c r="F40" s="26" t="s">
        <v>290</v>
      </c>
      <c r="G40" s="25">
        <f>IF(G17&lt;&gt;0,(G21+G23+G25+G27+G29)/G17*100,0)</f>
        <v>95.186000000000007</v>
      </c>
      <c r="H40" s="26" t="s">
        <v>290</v>
      </c>
      <c r="I40" s="25">
        <f>IF(I17&lt;&gt;0,(I21+I23+I25+I27+I29)/I17*100,0)</f>
        <v>95.176000000000002</v>
      </c>
      <c r="J40" s="26" t="s">
        <v>290</v>
      </c>
      <c r="K40" s="25">
        <f>IF(K17&lt;&gt;0,(K21+K23+K25+K27+K29)/K17*100,0)</f>
        <v>0</v>
      </c>
      <c r="L40" s="26" t="s">
        <v>290</v>
      </c>
      <c r="M40" s="25">
        <f>IF(M17&lt;&gt;0,(M21+M23+M25+M27+M29)/M17*100,0)</f>
        <v>0</v>
      </c>
      <c r="N40" s="24" t="s">
        <v>290</v>
      </c>
    </row>
    <row r="41" spans="2:18" ht="13.5" customHeight="1">
      <c r="B41" s="444" t="s">
        <v>291</v>
      </c>
      <c r="C41" s="27"/>
      <c r="D41" s="27"/>
      <c r="E41" s="27"/>
      <c r="F41" s="27"/>
      <c r="G41" s="27"/>
      <c r="H41" s="27"/>
      <c r="I41" s="27"/>
      <c r="J41" s="27"/>
      <c r="K41" s="27"/>
      <c r="L41" s="27"/>
      <c r="M41" s="27"/>
    </row>
    <row r="42" spans="2:18">
      <c r="B42" s="1" t="str">
        <f>"1.  Estimated percent of distribution of "&amp;[2]OPEN!$Q$5&amp;" tax dollars:"</f>
        <v>1.  Estimated percent of distribution of 2011 tax dollars:</v>
      </c>
      <c r="F42" s="1" t="s">
        <v>292</v>
      </c>
      <c r="G42" s="535" t="str">
        <f>[2]OPEN!$S$8</f>
        <v>Jan. 20, 2012</v>
      </c>
      <c r="I42" s="19">
        <v>62</v>
      </c>
      <c r="K42" s="535" t="str">
        <f>[2]OPEN!$T$8</f>
        <v>Sept. 20, 2012</v>
      </c>
      <c r="M42" s="19">
        <v>4</v>
      </c>
    </row>
    <row r="43" spans="2:18">
      <c r="B43" s="28"/>
      <c r="C43" s="28"/>
      <c r="D43" s="28"/>
      <c r="E43" s="28"/>
      <c r="F43" s="28"/>
      <c r="G43" s="535" t="str">
        <f>[2]OPEN!$S$9</f>
        <v>Mar. 20, 2012</v>
      </c>
      <c r="H43" s="28"/>
      <c r="I43" s="19">
        <v>1</v>
      </c>
      <c r="K43" s="535" t="str">
        <f>[2]OPEN!$T$9</f>
        <v>Oct. 31, 2012</v>
      </c>
      <c r="M43" s="427">
        <v>2</v>
      </c>
    </row>
    <row r="44" spans="2:18">
      <c r="B44" s="29"/>
      <c r="C44" s="30"/>
      <c r="E44" s="31"/>
      <c r="F44" s="29"/>
      <c r="G44" s="535">
        <f>[2]OPEN!$S$10</f>
        <v>41065</v>
      </c>
      <c r="I44" s="19">
        <v>31</v>
      </c>
      <c r="K44" s="646" t="str">
        <f>IF(I45&gt;=G40,"**WARNING:  Est. collection rate may","")</f>
        <v/>
      </c>
      <c r="M44" s="426"/>
      <c r="R44" s="536"/>
    </row>
    <row r="45" spans="2:18">
      <c r="B45" s="1" t="s">
        <v>111</v>
      </c>
      <c r="G45" s="32"/>
      <c r="H45" s="1" t="s">
        <v>292</v>
      </c>
      <c r="I45" s="33">
        <f>SUM(I42:I44)</f>
        <v>94</v>
      </c>
      <c r="K45" s="646" t="str">
        <f>IF(I45&gt;=G40,"be too high based upon prior year LOB percent collected.","")</f>
        <v/>
      </c>
      <c r="M45" s="34"/>
    </row>
    <row r="46" spans="2:18">
      <c r="B46" s="1" t="str">
        <f>"3.  "&amp;[2]OPEN!$Q$5&amp;" General Fund Assessed Valuation"</f>
        <v>3.  2011 General Fund Assessed Valuation</v>
      </c>
      <c r="H46" s="1" t="s">
        <v>292</v>
      </c>
      <c r="I46" s="15">
        <f>[2]OPEN!$A$15</f>
        <v>19041425</v>
      </c>
      <c r="K46" s="1" t="s">
        <v>293</v>
      </c>
      <c r="M46" s="33">
        <f>I42+I43+I44+M42+M43</f>
        <v>100</v>
      </c>
      <c r="O46" s="435" t="str">
        <f>IF(OR(M46&gt;100,M46&lt;100),"&lt;-- Should be 100%!"," ")</f>
        <v xml:space="preserve"> </v>
      </c>
    </row>
    <row r="47" spans="2:18" ht="15">
      <c r="B47" s="1" t="str">
        <f>"4.  "&amp;[2]OPEN!$P$4&amp;" Tax Levied (20 mills x "&amp;[2]OPEN!$Q$5&amp;" General Fund Assessed Valuation***)"</f>
        <v>4.  2011-2012 Tax Levied (20 mills x 2011 General Fund Assessed Valuation***)</v>
      </c>
      <c r="C47" s="35"/>
      <c r="D47" s="35"/>
      <c r="H47" s="1" t="s">
        <v>292</v>
      </c>
      <c r="I47" s="15">
        <f>I46*0.02</f>
        <v>380829</v>
      </c>
      <c r="M47" s="2" t="s">
        <v>294</v>
      </c>
    </row>
    <row r="48" spans="2:18">
      <c r="B48" s="28" t="str">
        <f>"5.  "&amp;[2]OPEN!$P$4&amp;" Est. Tax Levy to be received 1-1-"&amp;[2]OPEN!$S$5&amp;" to 6-30-"&amp;[2]OPEN!$S$5&amp;" (Line 2 x Line 4)"</f>
        <v>5.  2011-2012 Est. Tax Levy to be received 1-1-2012 to 6-30-2012 (Line 2 x Line 4)</v>
      </c>
      <c r="C48" s="28"/>
      <c r="D48" s="28"/>
      <c r="E48" s="28"/>
      <c r="F48" s="28"/>
      <c r="G48" s="28"/>
      <c r="H48" s="28" t="s">
        <v>292</v>
      </c>
      <c r="I48" s="15">
        <f>I45/100*I47</f>
        <v>357979</v>
      </c>
    </row>
    <row r="49" spans="2:18">
      <c r="B49" s="1" t="str">
        <f>"*Amounts are available from the County Treasurer.       **These Jan.-June, "&amp;[2]OPEN!$Q$5&amp;" amounts are available from the County Treasurer.  (Should"</f>
        <v>*Amounts are available from the County Treasurer.       **These Jan.-June, 2011 amounts are available from the County Treasurer.  (Should</v>
      </c>
    </row>
    <row r="50" spans="2:18">
      <c r="B50" s="1" t="s">
        <v>177</v>
      </c>
    </row>
    <row r="51" spans="2:18" ht="3.75" customHeight="1">
      <c r="M51" s="2"/>
    </row>
    <row r="52" spans="2:18" ht="15.75">
      <c r="B52" s="4" t="s">
        <v>148</v>
      </c>
      <c r="C52" s="4"/>
      <c r="D52" s="4"/>
      <c r="F52" s="5"/>
      <c r="G52" s="6"/>
      <c r="H52" s="36"/>
      <c r="I52" s="34"/>
      <c r="J52" s="34"/>
      <c r="K52" s="6"/>
      <c r="L52" s="37"/>
      <c r="M52" s="2" t="s">
        <v>178</v>
      </c>
    </row>
    <row r="53" spans="2:18">
      <c r="B53" s="3">
        <f>B2</f>
        <v>40664</v>
      </c>
      <c r="G53" s="6" t="s">
        <v>150</v>
      </c>
      <c r="H53" s="8"/>
      <c r="I53" s="8" t="str">
        <f>I2</f>
        <v>395 - LaCrosse</v>
      </c>
      <c r="J53" s="8"/>
      <c r="K53" s="38" t="s">
        <v>151</v>
      </c>
      <c r="M53" s="9">
        <f>M2</f>
        <v>395</v>
      </c>
    </row>
    <row r="54" spans="2:18" ht="14.1" customHeight="1">
      <c r="E54" s="12"/>
      <c r="F54" s="12"/>
      <c r="G54" s="12"/>
      <c r="H54" s="12"/>
      <c r="I54" s="12"/>
      <c r="J54" s="12"/>
      <c r="K54" s="6" t="s">
        <v>153</v>
      </c>
      <c r="L54" s="13"/>
      <c r="M54" s="39" t="str">
        <f>M3</f>
        <v>COMBINED</v>
      </c>
    </row>
    <row r="55" spans="2:18">
      <c r="B55" s="12" t="str">
        <f>B6</f>
        <v>2011-2012</v>
      </c>
      <c r="C55" s="12"/>
      <c r="D55" s="12"/>
      <c r="E55" s="12"/>
      <c r="F55" s="12"/>
      <c r="G55" s="12"/>
      <c r="H55" s="12"/>
      <c r="I55" s="12"/>
      <c r="J55" s="12"/>
      <c r="K55" s="12"/>
      <c r="L55" s="12"/>
      <c r="M55" s="12"/>
    </row>
    <row r="56" spans="2:18">
      <c r="B56" s="12" t="s">
        <v>155</v>
      </c>
      <c r="C56" s="12"/>
      <c r="D56" s="12"/>
      <c r="E56" s="12"/>
      <c r="F56" s="12"/>
      <c r="G56" s="12"/>
      <c r="H56" s="12"/>
      <c r="I56" s="12"/>
      <c r="J56" s="12"/>
      <c r="K56" s="12"/>
      <c r="L56" s="12"/>
      <c r="M56" s="12"/>
    </row>
    <row r="57" spans="2:18">
      <c r="B57" s="12" t="s">
        <v>156</v>
      </c>
      <c r="C57" s="12"/>
      <c r="D57" s="12"/>
      <c r="E57" s="12"/>
      <c r="F57" s="12"/>
      <c r="G57" s="12"/>
      <c r="H57" s="12"/>
      <c r="I57" s="12"/>
      <c r="J57" s="12"/>
      <c r="K57" s="12"/>
      <c r="L57" s="12"/>
      <c r="M57" s="12"/>
    </row>
    <row r="58" spans="2:18" ht="15">
      <c r="B58" s="14" t="s">
        <v>157</v>
      </c>
      <c r="C58" s="14"/>
      <c r="D58" s="14"/>
      <c r="E58" s="12"/>
      <c r="F58" s="12"/>
      <c r="G58" s="12"/>
      <c r="H58" s="12"/>
      <c r="I58" s="12"/>
      <c r="J58" s="12"/>
      <c r="K58" s="12"/>
      <c r="L58" s="12"/>
      <c r="M58" s="12"/>
    </row>
    <row r="59" spans="2:18" ht="5.0999999999999996" customHeight="1">
      <c r="E59" s="10"/>
      <c r="F59" s="10"/>
      <c r="G59" s="10"/>
      <c r="H59" s="10"/>
      <c r="I59" s="10"/>
      <c r="J59" s="10"/>
      <c r="K59" s="10"/>
      <c r="L59" s="10"/>
      <c r="M59" s="10"/>
    </row>
    <row r="60" spans="2:18" ht="15">
      <c r="E60" s="10" t="s">
        <v>179</v>
      </c>
      <c r="F60" s="10"/>
      <c r="G60" s="419" t="s">
        <v>25</v>
      </c>
      <c r="H60" s="10"/>
      <c r="I60" s="419" t="s">
        <v>106</v>
      </c>
      <c r="J60" s="10"/>
      <c r="K60" s="419" t="s">
        <v>182</v>
      </c>
      <c r="M60"/>
    </row>
    <row r="61" spans="2:18" ht="15">
      <c r="E61" s="10" t="s">
        <v>328</v>
      </c>
      <c r="F61" s="10"/>
      <c r="G61" s="10" t="s">
        <v>24</v>
      </c>
      <c r="H61" s="10"/>
      <c r="I61" s="419" t="s">
        <v>329</v>
      </c>
      <c r="J61" s="10"/>
      <c r="K61" s="419" t="str">
        <f>IF(M2=113,"Int. #2-USD 488","Interest #2")</f>
        <v>Interest #2</v>
      </c>
      <c r="M61"/>
    </row>
    <row r="62" spans="2:18" ht="5.0999999999999996" customHeight="1">
      <c r="M62"/>
    </row>
    <row r="63" spans="2:18" ht="12.75" customHeight="1">
      <c r="B63" s="1" t="str">
        <f>B15</f>
        <v>1.  County Treasurer Balance 6/30/2011 *</v>
      </c>
      <c r="E63" s="15">
        <f>E242+E418+E596+E768+E933</f>
        <v>0</v>
      </c>
      <c r="F63" s="16"/>
      <c r="G63" s="15">
        <f>G242+G418+G596+G768+G933</f>
        <v>0</v>
      </c>
      <c r="H63" s="16"/>
      <c r="I63" s="15">
        <f>I242+I418+I596+I768+I933</f>
        <v>0</v>
      </c>
      <c r="J63" s="16"/>
      <c r="K63" s="15">
        <f>K242+K418+K596+K768+K933</f>
        <v>0</v>
      </c>
      <c r="L63" s="40"/>
      <c r="M63"/>
      <c r="R63" s="12"/>
    </row>
    <row r="64" spans="2:18" ht="5.25" customHeight="1">
      <c r="B64" s="17"/>
      <c r="C64" s="17"/>
      <c r="D64" s="17"/>
      <c r="E64" s="18"/>
      <c r="F64" s="18"/>
      <c r="G64" s="18"/>
      <c r="H64" s="18"/>
      <c r="I64" s="18"/>
      <c r="J64" s="18"/>
      <c r="K64" s="18"/>
      <c r="L64" s="40"/>
      <c r="M64"/>
    </row>
    <row r="65" spans="2:13">
      <c r="B65" s="1" t="str">
        <f>B17</f>
        <v>2.  2010 Actual Taxes Levied*</v>
      </c>
      <c r="E65" s="15">
        <f>E244+E420+E598+E770+E935</f>
        <v>0</v>
      </c>
      <c r="F65" s="16"/>
      <c r="G65" s="15">
        <f>G244+G420+G598+G770+G935</f>
        <v>0</v>
      </c>
      <c r="H65" s="16"/>
      <c r="I65" s="15">
        <f>I244+I420+I598+I770+I935</f>
        <v>0</v>
      </c>
      <c r="J65" s="16"/>
      <c r="K65" s="15">
        <f>K244+K420+K598+K770+K935</f>
        <v>0</v>
      </c>
      <c r="L65" s="40"/>
      <c r="M65"/>
    </row>
    <row r="66" spans="2:13" ht="8.1" customHeight="1">
      <c r="E66" s="16"/>
      <c r="F66" s="16"/>
      <c r="G66" s="16"/>
      <c r="H66" s="16"/>
      <c r="I66" s="16"/>
      <c r="J66" s="16"/>
      <c r="K66" s="16"/>
      <c r="L66" s="40"/>
      <c r="M66"/>
    </row>
    <row r="67" spans="2:13">
      <c r="B67" s="1" t="s">
        <v>330</v>
      </c>
      <c r="C67" s="33">
        <f>C19</f>
        <v>1</v>
      </c>
      <c r="E67" s="15">
        <f>E65*$C$67/100</f>
        <v>0</v>
      </c>
      <c r="F67" s="16"/>
      <c r="G67" s="15">
        <f>G65*$C$67/100</f>
        <v>0</v>
      </c>
      <c r="H67" s="16"/>
      <c r="I67" s="15">
        <f>I65*$C$67/100</f>
        <v>0</v>
      </c>
      <c r="J67" s="16"/>
      <c r="K67" s="15">
        <f>K65*$C$67/100</f>
        <v>0</v>
      </c>
      <c r="L67" s="40"/>
      <c r="M67"/>
    </row>
    <row r="68" spans="2:13" ht="8.1" customHeight="1">
      <c r="E68" s="16"/>
      <c r="F68" s="16"/>
      <c r="G68" s="16"/>
      <c r="H68" s="16"/>
      <c r="I68" s="16"/>
      <c r="J68" s="16"/>
      <c r="K68" s="16"/>
      <c r="L68" s="40"/>
      <c r="M68"/>
    </row>
    <row r="69" spans="2:13">
      <c r="B69" s="1" t="str">
        <f>B21</f>
        <v>4.  Less:  Jan. 20, 2011 Taxes received**</v>
      </c>
      <c r="E69" s="15">
        <f>E248+E424+E602+E774+E939</f>
        <v>0</v>
      </c>
      <c r="F69" s="16"/>
      <c r="G69" s="15">
        <f>G248+G424+G602+G774+G939</f>
        <v>0</v>
      </c>
      <c r="H69" s="16"/>
      <c r="I69" s="15">
        <f>I248+I424+I602+I774+I939</f>
        <v>0</v>
      </c>
      <c r="J69" s="16"/>
      <c r="K69" s="15">
        <f>K248+K424+K602+K774+K939</f>
        <v>0</v>
      </c>
      <c r="L69" s="40"/>
      <c r="M69"/>
    </row>
    <row r="70" spans="2:13" ht="8.1" customHeight="1">
      <c r="E70" s="16"/>
      <c r="F70" s="16"/>
      <c r="G70" s="16"/>
      <c r="H70" s="16"/>
      <c r="I70" s="16"/>
      <c r="J70" s="16"/>
      <c r="K70" s="16"/>
      <c r="L70" s="40"/>
      <c r="M70"/>
    </row>
    <row r="71" spans="2:13">
      <c r="B71" s="1" t="str">
        <f>B23</f>
        <v>5.  Less:  Mar. 20, 2011  Taxes received**</v>
      </c>
      <c r="E71" s="15">
        <f>E250+E426+E604+E776+E941</f>
        <v>0</v>
      </c>
      <c r="F71" s="16"/>
      <c r="G71" s="15">
        <f>G250+G426+G604+G776+G941</f>
        <v>0</v>
      </c>
      <c r="H71" s="16"/>
      <c r="I71" s="15">
        <f>I250+I426+I604+I776+I941</f>
        <v>0</v>
      </c>
      <c r="J71" s="16"/>
      <c r="K71" s="15">
        <f>K250+K426+K604+K776+K941</f>
        <v>0</v>
      </c>
      <c r="L71" s="40"/>
      <c r="M71"/>
    </row>
    <row r="72" spans="2:13" ht="8.1" customHeight="1">
      <c r="E72" s="21"/>
      <c r="F72" s="16"/>
      <c r="G72" s="21"/>
      <c r="H72" s="16"/>
      <c r="I72" s="21"/>
      <c r="J72" s="16"/>
      <c r="K72" s="21"/>
      <c r="L72" s="40"/>
      <c r="M72"/>
    </row>
    <row r="73" spans="2:13">
      <c r="B73" s="1" t="str">
        <f>B25</f>
        <v>6.  Less:  June 5,  2011 Taxes received**</v>
      </c>
      <c r="E73" s="15">
        <f>E252+E428+E606+E778+E943</f>
        <v>0</v>
      </c>
      <c r="F73" s="16"/>
      <c r="G73" s="15">
        <f>G252+G428+G606+G778+G943</f>
        <v>0</v>
      </c>
      <c r="H73" s="16"/>
      <c r="I73" s="15">
        <f>I252+I428+I606+I778+I943</f>
        <v>0</v>
      </c>
      <c r="J73" s="16"/>
      <c r="K73" s="15">
        <f>K252+K428+K606+K778+K943</f>
        <v>0</v>
      </c>
      <c r="L73" s="40"/>
      <c r="M73"/>
    </row>
    <row r="74" spans="2:13" ht="8.1" customHeight="1">
      <c r="E74" s="21"/>
      <c r="F74" s="16"/>
      <c r="G74" s="21"/>
      <c r="H74" s="16"/>
      <c r="I74" s="21"/>
      <c r="J74" s="16"/>
      <c r="K74" s="21"/>
      <c r="L74" s="40"/>
      <c r="M74"/>
    </row>
    <row r="75" spans="2:13">
      <c r="B75" s="1" t="s">
        <v>286</v>
      </c>
      <c r="E75" s="15">
        <f>E254+E430+E608+E780+E945</f>
        <v>0</v>
      </c>
      <c r="F75" s="16"/>
      <c r="G75" s="15">
        <f>G254+G430+G608+G780+G945</f>
        <v>0</v>
      </c>
      <c r="H75" s="16"/>
      <c r="I75" s="15">
        <f>I254+I430+I608+I780+I945</f>
        <v>0</v>
      </c>
      <c r="J75" s="16"/>
      <c r="K75" s="15">
        <f>K254+K430+K608+K780+K945</f>
        <v>0</v>
      </c>
      <c r="L75" s="40"/>
      <c r="M75"/>
    </row>
    <row r="76" spans="2:13" ht="8.1" customHeight="1">
      <c r="E76" s="16"/>
      <c r="F76" s="16"/>
      <c r="G76" s="16"/>
      <c r="H76" s="16"/>
      <c r="I76" s="16"/>
      <c r="J76" s="16"/>
      <c r="K76" s="16"/>
      <c r="L76" s="40"/>
      <c r="M76"/>
    </row>
    <row r="77" spans="2:13" ht="12" customHeight="1">
      <c r="B77" s="1" t="s">
        <v>165</v>
      </c>
      <c r="E77" s="15">
        <f>E256+E432+E610+E782+E947</f>
        <v>0</v>
      </c>
      <c r="F77" s="16"/>
      <c r="G77" s="15">
        <f>G256+G432+G610+G782+G947</f>
        <v>0</v>
      </c>
      <c r="H77" s="16"/>
      <c r="I77" s="15">
        <f>I256+I432+I610+I782+I947</f>
        <v>0</v>
      </c>
      <c r="J77" s="16"/>
      <c r="K77" s="15">
        <f>K256+K432+K610+K782+K947</f>
        <v>0</v>
      </c>
      <c r="L77" s="40"/>
      <c r="M77"/>
    </row>
    <row r="78" spans="2:13" ht="14.25" customHeight="1">
      <c r="B78" s="1" t="s">
        <v>166</v>
      </c>
      <c r="E78" s="20">
        <f>E257+E433+E611+E783+E948</f>
        <v>0</v>
      </c>
      <c r="F78" s="16"/>
      <c r="G78" s="20">
        <f>G257+G433+G611+G783+G948</f>
        <v>0</v>
      </c>
      <c r="H78" s="16"/>
      <c r="I78" s="20">
        <f>I257+I433+I611+I783+I948</f>
        <v>0</v>
      </c>
      <c r="J78" s="16"/>
      <c r="K78" s="20">
        <f>K257+K433+K611+K783+K948</f>
        <v>0</v>
      </c>
      <c r="L78" s="40"/>
      <c r="M78"/>
    </row>
    <row r="79" spans="2:13" ht="12" customHeight="1">
      <c r="B79" s="1" t="s">
        <v>331</v>
      </c>
      <c r="E79" s="15">
        <f>SUM(E67:E78)</f>
        <v>0</v>
      </c>
      <c r="F79" s="21"/>
      <c r="G79" s="15">
        <f>SUM(G67:G78)</f>
        <v>0</v>
      </c>
      <c r="H79" s="21"/>
      <c r="I79" s="15">
        <f>SUM(I67:I78)</f>
        <v>0</v>
      </c>
      <c r="J79" s="21"/>
      <c r="K79" s="15">
        <f>SUM(K67:K78)</f>
        <v>0</v>
      </c>
      <c r="L79" s="40"/>
      <c r="M79"/>
    </row>
    <row r="80" spans="2:13" ht="8.1" customHeight="1">
      <c r="E80" s="16"/>
      <c r="F80" s="16"/>
      <c r="G80" s="16"/>
      <c r="H80" s="16"/>
      <c r="I80" s="16"/>
      <c r="J80" s="16"/>
      <c r="K80" s="16"/>
      <c r="L80" s="40"/>
      <c r="M80"/>
    </row>
    <row r="81" spans="1:14">
      <c r="B81" s="1" t="str">
        <f>B33</f>
        <v>11. 2010 taxes receivable (taxes in process</v>
      </c>
      <c r="E81" s="16"/>
      <c r="F81" s="16"/>
      <c r="G81" s="16"/>
      <c r="H81" s="16"/>
      <c r="I81" s="16"/>
      <c r="J81" s="16"/>
      <c r="K81" s="16"/>
      <c r="L81" s="40"/>
      <c r="M81"/>
    </row>
    <row r="82" spans="1:14">
      <c r="B82" s="1" t="str">
        <f>B34</f>
        <v xml:space="preserve">     of collection 6/30/2011)(Line 2 less Line 10)</v>
      </c>
      <c r="E82" s="15">
        <f>IF(E79&lt;=0,0,E65-E79)</f>
        <v>0</v>
      </c>
      <c r="F82" s="21"/>
      <c r="G82" s="15">
        <f>IF(G79&lt;=0,0,G65-G79)</f>
        <v>0</v>
      </c>
      <c r="H82" s="21"/>
      <c r="I82" s="15">
        <f>IF(I79&lt;=0,0,I65-I79)</f>
        <v>0</v>
      </c>
      <c r="J82" s="21"/>
      <c r="K82" s="15">
        <f>IF(K79&lt;=0,0,K65-K79)</f>
        <v>0</v>
      </c>
      <c r="L82" s="15"/>
      <c r="M82"/>
    </row>
    <row r="83" spans="1:14" ht="8.1" customHeight="1">
      <c r="E83" s="16"/>
      <c r="F83" s="16"/>
      <c r="G83" s="16"/>
      <c r="H83" s="16"/>
      <c r="I83" s="16"/>
      <c r="J83" s="16"/>
      <c r="K83" s="16"/>
      <c r="L83" s="40"/>
      <c r="M83"/>
    </row>
    <row r="84" spans="1:14">
      <c r="B84" s="1" t="s">
        <v>236</v>
      </c>
      <c r="E84" s="16"/>
      <c r="F84" s="16"/>
      <c r="G84" s="16"/>
      <c r="H84" s="16"/>
      <c r="I84" s="16"/>
      <c r="J84" s="16"/>
      <c r="K84" s="16"/>
      <c r="L84" s="40"/>
      <c r="M84"/>
    </row>
    <row r="85" spans="1:14">
      <c r="B85" s="1" t="s">
        <v>289</v>
      </c>
      <c r="E85" s="16"/>
      <c r="F85" s="16"/>
      <c r="G85" s="16"/>
      <c r="H85" s="16"/>
      <c r="I85" s="16"/>
      <c r="J85" s="16"/>
      <c r="K85" s="16"/>
      <c r="L85" s="40"/>
      <c r="M85"/>
    </row>
    <row r="86" spans="1:14">
      <c r="B86" s="1" t="str">
        <f>B38</f>
        <v xml:space="preserve">     (7-1-2011 to 12-31-2012) (Line 3 x 75%)</v>
      </c>
      <c r="E86" s="15">
        <f>SUM(E67*0.75)</f>
        <v>0</v>
      </c>
      <c r="F86" s="21"/>
      <c r="G86" s="15">
        <f>SUM(G67*0.75)</f>
        <v>0</v>
      </c>
      <c r="H86" s="21"/>
      <c r="I86" s="15">
        <f>SUM(I67*0.75)</f>
        <v>0</v>
      </c>
      <c r="J86" s="21"/>
      <c r="K86" s="15">
        <f>SUM(K67*0.75)</f>
        <v>0</v>
      </c>
      <c r="L86" s="40"/>
      <c r="M86"/>
    </row>
    <row r="87" spans="1:14" ht="14.1" customHeight="1">
      <c r="B87" s="41" t="str">
        <f>B40</f>
        <v>Tax Collection Ratio (Jan, Mar, June)</v>
      </c>
      <c r="C87" s="17"/>
      <c r="D87" s="17"/>
      <c r="E87" s="42">
        <f>IF(E65&lt;&gt;0,(E69+E71+E73+E75+E77)/E65*100,0)</f>
        <v>0</v>
      </c>
      <c r="F87" s="26" t="s">
        <v>290</v>
      </c>
      <c r="G87" s="42">
        <f>IF(G65&lt;&gt;0,(G69+G71+G73+G75+G77)/G65*100,0)</f>
        <v>0</v>
      </c>
      <c r="H87" s="26" t="s">
        <v>290</v>
      </c>
      <c r="I87" s="42">
        <f>IF(I65&lt;&gt;0,(I69+I71+I73+I75+I77)/I65*100,0)</f>
        <v>0</v>
      </c>
      <c r="J87" s="26" t="s">
        <v>290</v>
      </c>
      <c r="K87" s="42">
        <f>IF(K65&lt;&gt;0,(K69+K71+K73+K75+K77)/K65*100,0)</f>
        <v>0</v>
      </c>
      <c r="L87" s="26" t="s">
        <v>290</v>
      </c>
      <c r="M87"/>
      <c r="N87" s="24"/>
    </row>
    <row r="88" spans="1:14">
      <c r="B88" s="34" t="s">
        <v>237</v>
      </c>
      <c r="E88" s="43"/>
      <c r="F88" s="34"/>
      <c r="G88" s="43" t="s">
        <v>238</v>
      </c>
      <c r="H88" s="34"/>
      <c r="I88" s="34"/>
      <c r="J88" s="34"/>
      <c r="K88" s="34" t="s">
        <v>239</v>
      </c>
      <c r="L88" s="34"/>
      <c r="M88" s="34"/>
    </row>
    <row r="89" spans="1:14">
      <c r="B89" s="34" t="s">
        <v>104</v>
      </c>
      <c r="E89" s="43"/>
      <c r="F89" s="34"/>
      <c r="G89" s="43" t="str">
        <f>"Property Tax* 7/1/"&amp;[2]OPEN!$Q$5&amp;" to 6/30/"&amp;[2]OPEN!$S$5</f>
        <v>Property Tax* 7/1/2011 to 6/30/2012</v>
      </c>
      <c r="H89" s="34"/>
      <c r="I89" s="34"/>
      <c r="J89" s="34"/>
      <c r="K89" s="34" t="s">
        <v>240</v>
      </c>
      <c r="L89" s="34"/>
      <c r="M89" s="34"/>
    </row>
    <row r="90" spans="1:14">
      <c r="B90" s="34" t="str">
        <f>"7/1/"&amp;[2]OPEN!$Q$5&amp;" to 6/30/"&amp;[2]OPEN!$S$5</f>
        <v>7/1/2011 to 6/30/2012</v>
      </c>
      <c r="E90" s="34"/>
      <c r="F90" s="34"/>
      <c r="G90" s="34"/>
      <c r="H90" s="34"/>
      <c r="I90" s="34"/>
      <c r="J90" s="34"/>
      <c r="K90" s="34" t="str">
        <f>"7/1/"&amp;[2]OPEN!$Q$5&amp;" to 6/30/"&amp;[2]OPEN!$S$5</f>
        <v>7/1/2011 to 6/30/2012</v>
      </c>
      <c r="L90" s="34"/>
      <c r="M90" s="34"/>
    </row>
    <row r="91" spans="1:14">
      <c r="A91" s="44">
        <v>13</v>
      </c>
      <c r="B91" s="15">
        <f>[2]OPEN!$A$128</f>
        <v>55098</v>
      </c>
      <c r="E91" s="45">
        <v>14</v>
      </c>
      <c r="G91" s="15">
        <f>[2]OPEN!$A$129</f>
        <v>869</v>
      </c>
      <c r="I91" s="44">
        <v>15</v>
      </c>
      <c r="K91" s="15">
        <f>[2]OPEN!$A$130</f>
        <v>0</v>
      </c>
      <c r="L91" s="34"/>
      <c r="M91" s="34"/>
    </row>
    <row r="92" spans="1:14" ht="4.5" customHeight="1">
      <c r="E92" s="46"/>
      <c r="F92" s="46"/>
      <c r="G92" s="46"/>
      <c r="H92" s="46"/>
      <c r="I92" s="46"/>
      <c r="J92" s="46"/>
      <c r="K92" s="46"/>
      <c r="M92" s="46"/>
    </row>
    <row r="93" spans="1:14" ht="15">
      <c r="A93" s="47"/>
      <c r="B93" s="35"/>
      <c r="E93" s="45"/>
      <c r="G93" s="34"/>
      <c r="H93" s="34"/>
      <c r="I93" s="36"/>
      <c r="M93" s="6" t="s">
        <v>40</v>
      </c>
    </row>
    <row r="94" spans="1:14" ht="13.5" customHeight="1">
      <c r="A94" s="47">
        <v>17</v>
      </c>
      <c r="B94" s="35" t="str">
        <f>[2]OPEN!$O$5&amp;" DELINQUENT TAX PERCENTAGE"</f>
        <v>2009 DELINQUENT TAX PERCENTAGE</v>
      </c>
      <c r="E94" s="21"/>
      <c r="G94" s="34"/>
      <c r="H94" s="34"/>
      <c r="I94" s="36"/>
      <c r="M94" s="6" t="str">
        <f>"7/1/"&amp;[2]OPEN!$Q$5&amp;" to 6/30/"&amp;[2]OPEN!$S$5</f>
        <v>7/1/2011 to 6/30/2012</v>
      </c>
    </row>
    <row r="95" spans="1:14" ht="5.0999999999999996" customHeight="1">
      <c r="D95" s="35"/>
      <c r="E95" s="21"/>
      <c r="G95" s="34"/>
      <c r="H95" s="34"/>
      <c r="I95" s="34"/>
    </row>
    <row r="96" spans="1:14" ht="15">
      <c r="B96" s="1" t="s">
        <v>241</v>
      </c>
      <c r="C96" s="35"/>
      <c r="D96" s="1" t="s">
        <v>292</v>
      </c>
      <c r="E96" s="48">
        <v>1</v>
      </c>
      <c r="F96" s="1" t="s">
        <v>290</v>
      </c>
      <c r="G96" s="527"/>
      <c r="H96" s="50"/>
      <c r="I96" s="56"/>
      <c r="K96" s="526">
        <v>-16</v>
      </c>
      <c r="M96" s="525">
        <f>[2]OPEN!$A$131</f>
        <v>7537</v>
      </c>
    </row>
    <row r="97" spans="2:13" ht="3" customHeight="1">
      <c r="H97" s="34"/>
    </row>
    <row r="98" spans="2:13">
      <c r="B98" s="1" t="str">
        <f>"*Amounts are available from the County Treasurer.       **These Jan.-June, "&amp;[2]OPEN!$Q$5&amp;" amounts are available from the County Treasurer.  (Does not"</f>
        <v>*Amounts are available from the County Treasurer.       **These Jan.-June, 2011 amounts are available from the County Treasurer.  (Does not</v>
      </c>
    </row>
    <row r="99" spans="2:13" ht="12" customHeight="1">
      <c r="B99" s="1" t="s">
        <v>336</v>
      </c>
    </row>
    <row r="100" spans="2:13" ht="15">
      <c r="B100" s="1" t="s">
        <v>148</v>
      </c>
      <c r="M100" s="2" t="s">
        <v>337</v>
      </c>
    </row>
    <row r="101" spans="2:13">
      <c r="B101" s="3">
        <f>B53</f>
        <v>40664</v>
      </c>
      <c r="C101" s="4"/>
      <c r="D101" s="4"/>
      <c r="G101" s="6" t="s">
        <v>150</v>
      </c>
      <c r="H101" s="6"/>
      <c r="I101" s="8" t="str">
        <f>I2</f>
        <v>395 - LaCrosse</v>
      </c>
      <c r="J101" s="8"/>
      <c r="K101" s="8"/>
      <c r="L101" s="6" t="s">
        <v>151</v>
      </c>
      <c r="M101" s="9">
        <f>M2</f>
        <v>395</v>
      </c>
    </row>
    <row r="102" spans="2:13">
      <c r="K102" s="6" t="s">
        <v>153</v>
      </c>
      <c r="M102" s="8" t="str">
        <f>M3</f>
        <v>COMBINED</v>
      </c>
    </row>
    <row r="103" spans="2:13" ht="5.25" customHeight="1">
      <c r="E103" s="12"/>
      <c r="F103" s="12"/>
      <c r="G103" s="12"/>
      <c r="H103" s="12"/>
      <c r="I103" s="12"/>
      <c r="J103" s="12"/>
      <c r="K103" s="13"/>
      <c r="L103" s="13"/>
      <c r="M103" s="12"/>
    </row>
    <row r="104" spans="2:13">
      <c r="B104" s="12" t="str">
        <f>B6</f>
        <v>2011-2012</v>
      </c>
      <c r="C104" s="12"/>
      <c r="D104" s="12"/>
      <c r="E104" s="12"/>
      <c r="F104" s="12"/>
      <c r="G104" s="12"/>
      <c r="H104" s="12"/>
      <c r="I104" s="12"/>
      <c r="J104" s="12"/>
      <c r="K104" s="12"/>
      <c r="L104" s="12"/>
      <c r="M104" s="12"/>
    </row>
    <row r="105" spans="2:13">
      <c r="B105" s="12" t="s">
        <v>155</v>
      </c>
      <c r="C105" s="12"/>
      <c r="D105" s="12"/>
      <c r="E105" s="12"/>
      <c r="F105" s="12"/>
      <c r="G105" s="12"/>
      <c r="H105" s="12"/>
      <c r="I105" s="12"/>
      <c r="J105" s="12"/>
      <c r="K105" s="12"/>
      <c r="L105" s="12"/>
      <c r="M105" s="12"/>
    </row>
    <row r="106" spans="2:13">
      <c r="B106" s="12" t="s">
        <v>156</v>
      </c>
      <c r="C106" s="12"/>
      <c r="D106" s="12"/>
      <c r="E106" s="12"/>
      <c r="F106" s="12"/>
      <c r="G106" s="12"/>
      <c r="H106" s="12"/>
      <c r="I106" s="12"/>
      <c r="J106" s="12"/>
      <c r="K106" s="12"/>
      <c r="L106" s="12"/>
      <c r="M106" s="12"/>
    </row>
    <row r="107" spans="2:13" ht="15">
      <c r="B107" s="14" t="s">
        <v>157</v>
      </c>
      <c r="C107" s="14"/>
      <c r="D107" s="14"/>
      <c r="E107" s="12"/>
      <c r="F107" s="12"/>
      <c r="G107" s="12"/>
      <c r="H107" s="12"/>
      <c r="I107" s="12"/>
      <c r="J107" s="12"/>
      <c r="K107" s="12"/>
      <c r="L107" s="12"/>
      <c r="M107" s="12"/>
    </row>
    <row r="108" spans="2:13" ht="6" customHeight="1">
      <c r="E108" s="10"/>
      <c r="F108" s="10"/>
      <c r="G108" s="10"/>
      <c r="H108" s="10"/>
      <c r="I108" s="10"/>
      <c r="J108" s="10"/>
      <c r="K108" s="10"/>
      <c r="L108" s="10"/>
      <c r="M108" s="10"/>
    </row>
    <row r="109" spans="2:13" ht="15">
      <c r="E109" s="10" t="s">
        <v>338</v>
      </c>
      <c r="F109" s="10"/>
      <c r="G109" s="10" t="s">
        <v>180</v>
      </c>
      <c r="H109" s="10"/>
      <c r="I109" s="10" t="s">
        <v>339</v>
      </c>
      <c r="J109" s="10"/>
      <c r="K109" s="10" t="s">
        <v>340</v>
      </c>
      <c r="L109" s="10"/>
      <c r="M109" s="10" t="s">
        <v>341</v>
      </c>
    </row>
    <row r="110" spans="2:13" ht="15">
      <c r="E110" s="10" t="s">
        <v>342</v>
      </c>
      <c r="F110" s="10"/>
      <c r="G110" s="10" t="s">
        <v>343</v>
      </c>
      <c r="H110" s="10"/>
      <c r="I110" s="10" t="s">
        <v>344</v>
      </c>
      <c r="J110" s="10"/>
      <c r="K110" s="10" t="s">
        <v>345</v>
      </c>
      <c r="L110" s="10"/>
      <c r="M110" s="10" t="s">
        <v>346</v>
      </c>
    </row>
    <row r="112" spans="2:13">
      <c r="B112" s="1" t="str">
        <f>B15</f>
        <v>1.  County Treasurer Balance 6/30/2011 *</v>
      </c>
      <c r="E112" s="15">
        <f>E285+E463+E636+E809+E974</f>
        <v>0</v>
      </c>
      <c r="F112" s="16"/>
      <c r="G112" s="15">
        <f>G285+G463+G636+G809+G974</f>
        <v>0</v>
      </c>
      <c r="H112" s="16"/>
      <c r="I112" s="15">
        <f>I285+I463+I636+I809+I974</f>
        <v>0</v>
      </c>
      <c r="J112" s="16"/>
      <c r="K112" s="15">
        <f>K285+K463+K636+K809+K974</f>
        <v>0</v>
      </c>
      <c r="L112" s="40"/>
      <c r="M112" s="15">
        <f>M285+M463+M636+M809+M974</f>
        <v>0</v>
      </c>
    </row>
    <row r="113" spans="2:13" ht="7.5" customHeight="1">
      <c r="B113" s="17"/>
      <c r="C113" s="17"/>
      <c r="D113" s="17"/>
      <c r="E113" s="18"/>
      <c r="F113" s="18"/>
      <c r="G113" s="18"/>
      <c r="H113" s="18"/>
      <c r="I113" s="18"/>
      <c r="J113" s="18"/>
      <c r="K113" s="18"/>
      <c r="L113" s="40"/>
      <c r="M113" s="18"/>
    </row>
    <row r="114" spans="2:13">
      <c r="B114" s="1" t="str">
        <f>B17</f>
        <v>2.  2010 Actual Taxes Levied*</v>
      </c>
      <c r="E114" s="15">
        <f>E287+E465+E638+E811+E976</f>
        <v>0</v>
      </c>
      <c r="F114" s="16"/>
      <c r="G114" s="15">
        <f>G287+G465+G638+G811+G976</f>
        <v>0</v>
      </c>
      <c r="H114" s="16"/>
      <c r="I114" s="15">
        <f>I287+I465+I638+I811+I976</f>
        <v>0</v>
      </c>
      <c r="J114" s="16"/>
      <c r="K114" s="15">
        <f>K287+K465+K638+K811+K976</f>
        <v>0</v>
      </c>
      <c r="L114" s="40"/>
      <c r="M114" s="15">
        <f>M287+M465+M638+M811+M976</f>
        <v>0</v>
      </c>
    </row>
    <row r="115" spans="2:13" ht="7.5" customHeight="1">
      <c r="E115" s="16"/>
      <c r="F115" s="16"/>
      <c r="G115" s="16"/>
      <c r="H115" s="16"/>
      <c r="I115" s="16"/>
      <c r="J115" s="16"/>
      <c r="K115" s="16"/>
      <c r="L115" s="40"/>
      <c r="M115" s="16"/>
    </row>
    <row r="116" spans="2:13">
      <c r="B116" s="1" t="s">
        <v>330</v>
      </c>
      <c r="C116" s="33">
        <f>C19</f>
        <v>1</v>
      </c>
      <c r="E116" s="15">
        <f>E114*$C$67/100</f>
        <v>0</v>
      </c>
      <c r="F116" s="16"/>
      <c r="G116" s="15">
        <f>G114*$C$67/100</f>
        <v>0</v>
      </c>
      <c r="H116" s="16"/>
      <c r="I116" s="15">
        <f>I114*$C$67/100</f>
        <v>0</v>
      </c>
      <c r="J116" s="16"/>
      <c r="K116" s="15">
        <f>K114*$C$67/100</f>
        <v>0</v>
      </c>
      <c r="L116" s="40"/>
      <c r="M116" s="15">
        <f>M114*$C$67/100</f>
        <v>0</v>
      </c>
    </row>
    <row r="117" spans="2:13" ht="7.5" customHeight="1">
      <c r="E117" s="16"/>
      <c r="F117" s="16"/>
      <c r="G117" s="16"/>
      <c r="H117" s="16"/>
      <c r="I117" s="16"/>
      <c r="J117" s="16"/>
      <c r="K117" s="16"/>
      <c r="L117" s="40"/>
      <c r="M117" s="16"/>
    </row>
    <row r="118" spans="2:13">
      <c r="B118" s="1" t="str">
        <f>B69</f>
        <v>4.  Less:  Jan. 20, 2011 Taxes received**</v>
      </c>
      <c r="E118" s="15">
        <f>E291+E469+E642+E815+E980</f>
        <v>0</v>
      </c>
      <c r="F118" s="16"/>
      <c r="G118" s="15">
        <f>G291+G469+G642+G815+G980</f>
        <v>0</v>
      </c>
      <c r="H118" s="16"/>
      <c r="I118" s="15">
        <f>I291+I469+I642+I815+I980</f>
        <v>0</v>
      </c>
      <c r="J118" s="16"/>
      <c r="K118" s="15">
        <f>K291+K469+K642+K815+K980</f>
        <v>0</v>
      </c>
      <c r="L118" s="40"/>
      <c r="M118" s="15">
        <f>M291+M469+M642+M815+M980</f>
        <v>0</v>
      </c>
    </row>
    <row r="119" spans="2:13" ht="6.75" customHeight="1">
      <c r="E119" s="16"/>
      <c r="F119" s="16"/>
      <c r="G119" s="16"/>
      <c r="H119" s="16"/>
      <c r="I119" s="16"/>
      <c r="J119" s="16"/>
      <c r="K119" s="16"/>
      <c r="L119" s="40"/>
      <c r="M119" s="16"/>
    </row>
    <row r="120" spans="2:13">
      <c r="B120" s="1" t="str">
        <f>B71</f>
        <v>5.  Less:  Mar. 20, 2011  Taxes received**</v>
      </c>
      <c r="E120" s="15">
        <f>E293+E471+E644+E817+E982</f>
        <v>0</v>
      </c>
      <c r="F120" s="16"/>
      <c r="G120" s="15">
        <f>G293+G471+G644+G817+G982</f>
        <v>0</v>
      </c>
      <c r="H120" s="16"/>
      <c r="I120" s="15">
        <f>I293+I471+I644+I817+I982</f>
        <v>0</v>
      </c>
      <c r="J120" s="16"/>
      <c r="K120" s="15">
        <f>K293+K471+K644+K817+K982</f>
        <v>0</v>
      </c>
      <c r="L120" s="40"/>
      <c r="M120" s="15">
        <f>M293+M471+M644+M817+M982</f>
        <v>0</v>
      </c>
    </row>
    <row r="121" spans="2:13" ht="6.75" customHeight="1">
      <c r="E121" s="21"/>
      <c r="F121" s="16"/>
      <c r="G121" s="21"/>
      <c r="H121" s="16"/>
      <c r="I121" s="21"/>
      <c r="J121" s="16"/>
      <c r="K121" s="21"/>
      <c r="L121" s="40"/>
      <c r="M121" s="21"/>
    </row>
    <row r="122" spans="2:13">
      <c r="B122" s="1" t="str">
        <f>B25</f>
        <v>6.  Less:  June 5,  2011 Taxes received**</v>
      </c>
      <c r="E122" s="15">
        <f>E295+E473+E646+E819+E984</f>
        <v>0</v>
      </c>
      <c r="F122" s="16"/>
      <c r="G122" s="15">
        <f>G295+G473+G646+G819+G984</f>
        <v>0</v>
      </c>
      <c r="H122" s="16"/>
      <c r="I122" s="15">
        <f>I295+I473+I646+I819+I984</f>
        <v>0</v>
      </c>
      <c r="J122" s="16"/>
      <c r="K122" s="15">
        <f>K295+K473+K646+K819+K984</f>
        <v>0</v>
      </c>
      <c r="L122" s="40"/>
      <c r="M122" s="15">
        <f>M295+M473+M646+M819+M984</f>
        <v>0</v>
      </c>
    </row>
    <row r="123" spans="2:13" ht="8.25" customHeight="1">
      <c r="E123" s="21"/>
      <c r="F123" s="16"/>
      <c r="G123" s="21"/>
      <c r="H123" s="16"/>
      <c r="I123" s="21"/>
      <c r="J123" s="16"/>
      <c r="K123" s="21"/>
      <c r="L123" s="40"/>
      <c r="M123" s="21"/>
    </row>
    <row r="124" spans="2:13">
      <c r="B124" s="1" t="s">
        <v>286</v>
      </c>
      <c r="E124" s="15">
        <f>E297+E475+E648+E821+E986</f>
        <v>0</v>
      </c>
      <c r="F124" s="16"/>
      <c r="G124" s="15">
        <f>G297+G475+G648+G821+G986</f>
        <v>0</v>
      </c>
      <c r="H124" s="16"/>
      <c r="I124" s="15">
        <f>I297+I475+I648+I821+I986</f>
        <v>0</v>
      </c>
      <c r="J124" s="16"/>
      <c r="K124" s="15">
        <f>K297+K475+K648+K821+K986</f>
        <v>0</v>
      </c>
      <c r="L124" s="40"/>
      <c r="M124" s="15">
        <f>M297+M475+M648+M821+M986</f>
        <v>0</v>
      </c>
    </row>
    <row r="125" spans="2:13" ht="8.25" customHeight="1">
      <c r="E125" s="16"/>
      <c r="F125" s="16"/>
      <c r="G125" s="16"/>
      <c r="H125" s="16"/>
      <c r="I125" s="16"/>
      <c r="J125" s="16"/>
      <c r="K125" s="16"/>
      <c r="L125" s="40"/>
      <c r="M125" s="16"/>
    </row>
    <row r="126" spans="2:13">
      <c r="B126" s="1" t="s">
        <v>165</v>
      </c>
      <c r="E126" s="15">
        <f>E299+E477+E650+E823+E988</f>
        <v>0</v>
      </c>
      <c r="F126" s="16"/>
      <c r="G126" s="15">
        <f>G299+G477+G650+G823+G988</f>
        <v>0</v>
      </c>
      <c r="H126" s="16"/>
      <c r="I126" s="15">
        <f>I299+I477+I650+I823+I988</f>
        <v>0</v>
      </c>
      <c r="J126" s="16"/>
      <c r="K126" s="15">
        <f>K299+K477+K650+K823+K988</f>
        <v>0</v>
      </c>
      <c r="L126" s="40"/>
      <c r="M126" s="15">
        <f>M299+M477+M650+M823+M988</f>
        <v>0</v>
      </c>
    </row>
    <row r="127" spans="2:13">
      <c r="B127" s="1" t="s">
        <v>166</v>
      </c>
      <c r="E127" s="15">
        <f>E300+E478+E651+E824+E989</f>
        <v>0</v>
      </c>
      <c r="F127" s="16"/>
      <c r="G127" s="15">
        <f>G300+G478+G651+G824+G989</f>
        <v>0</v>
      </c>
      <c r="H127" s="16"/>
      <c r="I127" s="15">
        <f>I300+I478+I651+I824+I989</f>
        <v>0</v>
      </c>
      <c r="J127" s="16"/>
      <c r="K127" s="15">
        <f>K300+K478+K651+K824+K989</f>
        <v>0</v>
      </c>
      <c r="L127" s="40"/>
      <c r="M127" s="15">
        <f>M300+M478+M651+M824+M989</f>
        <v>0</v>
      </c>
    </row>
    <row r="128" spans="2:13">
      <c r="B128" s="1" t="s">
        <v>331</v>
      </c>
      <c r="E128" s="15">
        <f>SUM(E116:E127)</f>
        <v>0</v>
      </c>
      <c r="F128" s="21"/>
      <c r="G128" s="15">
        <f>SUM(G116:G127)</f>
        <v>0</v>
      </c>
      <c r="H128" s="21"/>
      <c r="I128" s="15">
        <f>SUM(I116:I127)</f>
        <v>0</v>
      </c>
      <c r="J128" s="21"/>
      <c r="K128" s="15">
        <f>SUM(K116:K127)</f>
        <v>0</v>
      </c>
      <c r="L128" s="40"/>
      <c r="M128" s="15">
        <f>SUM(M116:M127)</f>
        <v>0</v>
      </c>
    </row>
    <row r="129" spans="2:14" ht="8.25" customHeight="1">
      <c r="E129" s="16"/>
      <c r="F129" s="16"/>
      <c r="G129" s="16"/>
      <c r="H129" s="16"/>
      <c r="I129" s="16"/>
      <c r="J129" s="16"/>
      <c r="K129" s="16"/>
      <c r="L129" s="40"/>
      <c r="M129" s="16"/>
    </row>
    <row r="130" spans="2:14">
      <c r="B130" s="1" t="str">
        <f>B33</f>
        <v>11. 2010 taxes receivable (taxes in process</v>
      </c>
      <c r="E130" s="16"/>
      <c r="F130" s="16"/>
      <c r="G130" s="16"/>
      <c r="H130" s="16"/>
      <c r="I130" s="16"/>
      <c r="J130" s="16"/>
      <c r="K130" s="16"/>
      <c r="L130" s="40"/>
      <c r="M130" s="16"/>
    </row>
    <row r="131" spans="2:14">
      <c r="B131" s="1" t="str">
        <f>B34</f>
        <v xml:space="preserve">     of collection 6/30/2011)(Line 2 less Line 10)</v>
      </c>
      <c r="E131" s="15">
        <f>IF(E128&lt;=0,0,E114-E128)</f>
        <v>0</v>
      </c>
      <c r="F131" s="21"/>
      <c r="G131" s="15">
        <f>IF(G128&lt;=0,0,G114-G128)</f>
        <v>0</v>
      </c>
      <c r="H131" s="21"/>
      <c r="I131" s="15">
        <f>IF(I128&lt;=0,0,I114-I128)</f>
        <v>0</v>
      </c>
      <c r="J131" s="21"/>
      <c r="K131" s="15">
        <f>IF(K128&lt;=0,0,K114-K128)</f>
        <v>0</v>
      </c>
      <c r="L131" s="21"/>
      <c r="M131" s="15">
        <f>IF(M128&lt;=0,0,M114-M128)</f>
        <v>0</v>
      </c>
    </row>
    <row r="132" spans="2:14" ht="8.25" customHeight="1">
      <c r="E132" s="16"/>
      <c r="F132" s="16"/>
      <c r="G132" s="16"/>
      <c r="H132" s="16"/>
      <c r="I132" s="16"/>
      <c r="J132" s="16"/>
      <c r="K132" s="16"/>
      <c r="L132" s="40"/>
      <c r="M132" s="16"/>
    </row>
    <row r="133" spans="2:14">
      <c r="B133" s="1" t="s">
        <v>236</v>
      </c>
      <c r="E133" s="16"/>
      <c r="F133" s="16"/>
      <c r="G133" s="16"/>
      <c r="H133" s="16"/>
      <c r="I133" s="16"/>
      <c r="J133" s="16"/>
      <c r="K133" s="16"/>
      <c r="L133" s="40"/>
      <c r="M133" s="16"/>
    </row>
    <row r="134" spans="2:14">
      <c r="B134" s="1" t="s">
        <v>289</v>
      </c>
      <c r="E134" s="16"/>
      <c r="F134" s="16"/>
      <c r="G134" s="16"/>
      <c r="H134" s="16"/>
      <c r="I134" s="16"/>
      <c r="J134" s="16"/>
      <c r="K134" s="16"/>
      <c r="L134" s="40"/>
      <c r="M134" s="16"/>
    </row>
    <row r="135" spans="2:14">
      <c r="B135" s="1" t="str">
        <f>B38</f>
        <v xml:space="preserve">     (7-1-2011 to 12-31-2012) (Line 3 x 75%)</v>
      </c>
      <c r="E135" s="15">
        <f>SUM(E116*0.75)</f>
        <v>0</v>
      </c>
      <c r="F135" s="21"/>
      <c r="G135" s="15">
        <f>SUM(G116*0.75)</f>
        <v>0</v>
      </c>
      <c r="H135" s="21"/>
      <c r="I135" s="15">
        <f>SUM(I116*0.75)</f>
        <v>0</v>
      </c>
      <c r="J135" s="21"/>
      <c r="K135" s="15">
        <f>SUM(K116*0.75)</f>
        <v>0</v>
      </c>
      <c r="L135" s="40"/>
      <c r="M135" s="15">
        <f>SUM(M116*0.75)</f>
        <v>0</v>
      </c>
    </row>
    <row r="136" spans="2:14" ht="6.75" customHeight="1">
      <c r="E136" s="40"/>
      <c r="F136" s="40"/>
      <c r="G136" s="40"/>
      <c r="H136" s="40"/>
      <c r="I136" s="40"/>
      <c r="J136" s="40"/>
      <c r="K136" s="40"/>
      <c r="L136" s="40"/>
      <c r="M136" s="40"/>
    </row>
    <row r="137" spans="2:14" ht="15">
      <c r="B137" s="35" t="str">
        <f>B40</f>
        <v>Tax Collection Ratio (Jan, Mar, June)</v>
      </c>
      <c r="E137" s="51">
        <f>IF(E114&lt;&gt;0,(E118+E120+E122+E124+E126)/E114*100,0)</f>
        <v>0</v>
      </c>
      <c r="F137" s="26" t="s">
        <v>290</v>
      </c>
      <c r="G137" s="51">
        <f>IF(G114&lt;&gt;0,(G118+G120+G122+G124+G126)/G114*100,0)</f>
        <v>0</v>
      </c>
      <c r="H137" s="26" t="s">
        <v>290</v>
      </c>
      <c r="I137" s="51">
        <f>IF(I114&lt;&gt;0,(I118+I120+I122+I124+I126)/I114*100,0)</f>
        <v>0</v>
      </c>
      <c r="J137" s="26" t="s">
        <v>290</v>
      </c>
      <c r="K137" s="51">
        <f>IF(K114&lt;&gt;0,(K118+K120+K122+K124+K126)/K114*100,0)</f>
        <v>0</v>
      </c>
      <c r="L137" s="26" t="s">
        <v>290</v>
      </c>
      <c r="M137" s="51">
        <f>IF(M114&lt;&gt;0,(M118+M120+M122+M124+M126)/M114*100,0)</f>
        <v>0</v>
      </c>
      <c r="N137" s="24" t="s">
        <v>290</v>
      </c>
    </row>
    <row r="138" spans="2:14" ht="6.75" customHeight="1"/>
    <row r="139" spans="2:14">
      <c r="B139" s="1" t="str">
        <f>B98</f>
        <v>*Amounts are available from the County Treasurer.       **These Jan.-June, 2011 amounts are available from the County Treasurer.  (Does not</v>
      </c>
    </row>
    <row r="140" spans="2:14" ht="12.75" customHeight="1">
      <c r="B140" s="1" t="str">
        <f>B99</f>
        <v xml:space="preserve"> include MVPT.  Should correspond to school records.)</v>
      </c>
    </row>
    <row r="141" spans="2:14" ht="15">
      <c r="B141" s="1" t="s">
        <v>148</v>
      </c>
      <c r="M141" s="2" t="s">
        <v>347</v>
      </c>
    </row>
    <row r="142" spans="2:14">
      <c r="B142" s="3">
        <f>B2</f>
        <v>40664</v>
      </c>
      <c r="C142" s="4"/>
      <c r="D142" s="4"/>
      <c r="G142" s="6" t="s">
        <v>150</v>
      </c>
      <c r="H142" s="6"/>
      <c r="I142" s="8" t="str">
        <f>I2</f>
        <v>395 - LaCrosse</v>
      </c>
      <c r="J142" s="8"/>
      <c r="K142" s="8"/>
      <c r="L142" s="6" t="s">
        <v>151</v>
      </c>
      <c r="M142" s="9">
        <f>M2</f>
        <v>395</v>
      </c>
    </row>
    <row r="143" spans="2:14">
      <c r="K143" s="6" t="s">
        <v>153</v>
      </c>
      <c r="M143" s="8" t="str">
        <f>M3</f>
        <v>COMBINED</v>
      </c>
    </row>
    <row r="144" spans="2:14" ht="6.75" customHeight="1">
      <c r="E144" s="12"/>
      <c r="F144" s="12"/>
      <c r="G144" s="12"/>
      <c r="H144" s="12"/>
      <c r="I144" s="12"/>
      <c r="J144" s="12"/>
      <c r="K144" s="13"/>
      <c r="L144" s="13"/>
      <c r="M144" s="12"/>
    </row>
    <row r="145" spans="2:13">
      <c r="B145" s="12" t="str">
        <f>B6</f>
        <v>2011-2012</v>
      </c>
      <c r="C145" s="12"/>
      <c r="D145" s="12"/>
      <c r="E145" s="12"/>
      <c r="F145" s="12"/>
      <c r="G145" s="12"/>
      <c r="H145" s="12"/>
      <c r="I145" s="12"/>
      <c r="J145" s="12"/>
      <c r="K145" s="12"/>
      <c r="L145" s="12"/>
      <c r="M145" s="12"/>
    </row>
    <row r="146" spans="2:13">
      <c r="B146" s="12" t="s">
        <v>155</v>
      </c>
      <c r="C146" s="12"/>
      <c r="D146" s="12"/>
      <c r="E146" s="12"/>
      <c r="F146" s="12"/>
      <c r="G146" s="12"/>
      <c r="H146" s="12"/>
      <c r="I146" s="12"/>
      <c r="J146" s="12"/>
      <c r="K146" s="12"/>
      <c r="L146" s="12"/>
      <c r="M146" s="12"/>
    </row>
    <row r="147" spans="2:13">
      <c r="B147" s="12" t="s">
        <v>156</v>
      </c>
      <c r="C147" s="12"/>
      <c r="D147" s="12"/>
      <c r="E147" s="12"/>
      <c r="F147" s="12"/>
      <c r="G147" s="12"/>
      <c r="H147" s="12"/>
      <c r="I147" s="12"/>
      <c r="J147" s="12"/>
      <c r="K147" s="12"/>
      <c r="L147" s="12"/>
      <c r="M147" s="12"/>
    </row>
    <row r="148" spans="2:13" ht="15">
      <c r="B148" s="14" t="s">
        <v>157</v>
      </c>
      <c r="C148" s="14"/>
      <c r="D148" s="14"/>
      <c r="E148" s="12"/>
      <c r="F148" s="12"/>
      <c r="G148" s="12"/>
      <c r="H148" s="12"/>
      <c r="I148" s="12"/>
      <c r="J148" s="12"/>
      <c r="K148" s="12"/>
      <c r="L148" s="12"/>
      <c r="M148" s="12"/>
    </row>
    <row r="149" spans="2:13" ht="8.25" customHeight="1">
      <c r="E149" s="10"/>
      <c r="F149" s="10"/>
      <c r="G149" s="10"/>
      <c r="H149" s="10"/>
      <c r="I149" s="10"/>
      <c r="J149" s="10"/>
      <c r="K149" s="10"/>
      <c r="L149" s="10"/>
      <c r="M149" s="10"/>
    </row>
    <row r="150" spans="2:13" ht="15">
      <c r="E150" s="465"/>
      <c r="F150" s="10"/>
      <c r="G150" s="10" t="str">
        <f>IF(M2=114," ","Rec. Comm")</f>
        <v>Rec. Comm</v>
      </c>
      <c r="H150" s="10"/>
      <c r="I150" s="10" t="s">
        <v>348</v>
      </c>
      <c r="J150" s="10"/>
      <c r="K150" s="35" t="s">
        <v>349</v>
      </c>
      <c r="L150" s="10"/>
      <c r="M150" s="40"/>
    </row>
    <row r="151" spans="2:13" ht="15">
      <c r="E151" s="466" t="s">
        <v>188</v>
      </c>
      <c r="F151" s="10"/>
      <c r="G151" s="10" t="str">
        <f>IF(M2=114,"Recreation","Emp Benef")</f>
        <v>Emp Benef</v>
      </c>
      <c r="H151" s="10"/>
      <c r="I151" s="10" t="s">
        <v>350</v>
      </c>
      <c r="J151" s="10"/>
      <c r="K151" s="10" t="s">
        <v>351</v>
      </c>
      <c r="L151" s="10"/>
      <c r="M151" s="466" t="s">
        <v>439</v>
      </c>
    </row>
    <row r="152" spans="2:13" ht="15">
      <c r="E152" s="466" t="s">
        <v>89</v>
      </c>
      <c r="G152" s="10" t="str">
        <f>IF(M2=114,"Fund #486","&amp; Spec Liab")</f>
        <v>&amp; Spec Liab</v>
      </c>
      <c r="I152" s="10" t="s">
        <v>352</v>
      </c>
      <c r="K152" s="10" t="s">
        <v>353</v>
      </c>
      <c r="M152" s="466" t="s">
        <v>440</v>
      </c>
    </row>
    <row r="153" spans="2:13" ht="15">
      <c r="G153" s="35"/>
    </row>
    <row r="154" spans="2:13">
      <c r="B154" s="1" t="str">
        <f>B15</f>
        <v>1.  County Treasurer Balance 6/30/2011 *</v>
      </c>
      <c r="E154" s="469">
        <f>E327+E505+E678+E850+E1016</f>
        <v>0</v>
      </c>
      <c r="F154" s="16"/>
      <c r="G154" s="15">
        <f>G327+G505+G678+G850+G1016</f>
        <v>0</v>
      </c>
      <c r="H154" s="16"/>
      <c r="I154" s="15">
        <f>I327+I505+I678+I850+I1016</f>
        <v>0</v>
      </c>
      <c r="J154" s="16"/>
      <c r="K154" s="15">
        <f>K327+K505+K678+K850+K1016</f>
        <v>0</v>
      </c>
      <c r="L154" s="40"/>
      <c r="M154" s="15">
        <f>M327+M505+M678+M850+M1016</f>
        <v>0</v>
      </c>
    </row>
    <row r="155" spans="2:13" ht="5.25" customHeight="1">
      <c r="B155" s="17"/>
      <c r="C155" s="17"/>
      <c r="D155" s="17"/>
      <c r="E155" s="18"/>
      <c r="F155" s="18"/>
      <c r="G155" s="18"/>
      <c r="H155" s="18"/>
      <c r="I155" s="18"/>
      <c r="J155" s="18"/>
      <c r="K155" s="18"/>
      <c r="L155" s="40"/>
      <c r="M155" s="18"/>
    </row>
    <row r="156" spans="2:13">
      <c r="B156" s="1" t="str">
        <f>B17</f>
        <v>2.  2010 Actual Taxes Levied*</v>
      </c>
      <c r="E156" s="469">
        <f>E329+E507+E680+E852+E1018</f>
        <v>0</v>
      </c>
      <c r="F156" s="16"/>
      <c r="G156" s="15">
        <f>G329+G507+G680+G852+G1018</f>
        <v>0</v>
      </c>
      <c r="H156" s="16"/>
      <c r="I156" s="15">
        <f>I329+I507+I680+I852+I1018</f>
        <v>0</v>
      </c>
      <c r="J156" s="16"/>
      <c r="K156" s="15">
        <f>K329+K507+K680+K852+K1018</f>
        <v>0</v>
      </c>
      <c r="L156" s="40"/>
      <c r="M156" s="15">
        <f>M329+M507+M680+M852+M1018</f>
        <v>0</v>
      </c>
    </row>
    <row r="157" spans="2:13" ht="6.75" customHeight="1">
      <c r="E157" s="16"/>
      <c r="F157" s="16"/>
      <c r="G157" s="16"/>
      <c r="H157" s="16"/>
      <c r="I157" s="16"/>
      <c r="J157" s="16"/>
      <c r="K157" s="16"/>
      <c r="L157" s="40"/>
      <c r="M157" s="16"/>
    </row>
    <row r="158" spans="2:13">
      <c r="B158" s="1" t="s">
        <v>330</v>
      </c>
      <c r="C158" s="33">
        <f>C19</f>
        <v>1</v>
      </c>
      <c r="E158" s="469">
        <f>E156*$C$67/100</f>
        <v>0</v>
      </c>
      <c r="F158" s="16"/>
      <c r="G158" s="15">
        <f>G156*$C$67/100</f>
        <v>0</v>
      </c>
      <c r="H158" s="16"/>
      <c r="I158" s="15">
        <f>I156*$C$67/100</f>
        <v>0</v>
      </c>
      <c r="J158" s="16"/>
      <c r="K158" s="15">
        <f>K156*$C$67/100</f>
        <v>0</v>
      </c>
      <c r="L158" s="40"/>
      <c r="M158" s="15">
        <f>M156*$C$67/100</f>
        <v>0</v>
      </c>
    </row>
    <row r="159" spans="2:13" ht="8.25" customHeight="1">
      <c r="E159" s="16"/>
      <c r="F159" s="16"/>
      <c r="G159" s="16"/>
      <c r="H159" s="16"/>
      <c r="I159" s="16"/>
      <c r="J159" s="16"/>
      <c r="K159" s="16"/>
      <c r="L159" s="40"/>
      <c r="M159" s="16"/>
    </row>
    <row r="160" spans="2:13">
      <c r="B160" s="1" t="str">
        <f>B21</f>
        <v>4.  Less:  Jan. 20, 2011 Taxes received**</v>
      </c>
      <c r="E160" s="469">
        <f>E333+E511+E684+E856+E1022</f>
        <v>0</v>
      </c>
      <c r="F160" s="16"/>
      <c r="G160" s="15">
        <f>G333+G511+G684+G856+G1022</f>
        <v>0</v>
      </c>
      <c r="H160" s="16"/>
      <c r="I160" s="15">
        <f>I333+I511+I684+I856+I1022</f>
        <v>0</v>
      </c>
      <c r="J160" s="16"/>
      <c r="K160" s="15">
        <f>K333+K511+K684+K856+K1022</f>
        <v>0</v>
      </c>
      <c r="L160" s="40"/>
      <c r="M160" s="15">
        <f>M333+M511+M684+M856+M1022</f>
        <v>0</v>
      </c>
    </row>
    <row r="161" spans="2:13" ht="7.5" customHeight="1">
      <c r="E161" s="16"/>
      <c r="F161" s="16"/>
      <c r="G161" s="16"/>
      <c r="H161" s="16"/>
      <c r="I161" s="16"/>
      <c r="J161" s="16"/>
      <c r="K161" s="16"/>
      <c r="L161" s="40"/>
      <c r="M161" s="16"/>
    </row>
    <row r="162" spans="2:13">
      <c r="B162" s="1" t="str">
        <f>B23</f>
        <v>5.  Less:  Mar. 20, 2011  Taxes received**</v>
      </c>
      <c r="E162" s="469">
        <f>E335+E513+E686+E858+E1024</f>
        <v>0</v>
      </c>
      <c r="F162" s="16"/>
      <c r="G162" s="15">
        <f>G335+G513+G686+G858+G1024</f>
        <v>0</v>
      </c>
      <c r="H162" s="16"/>
      <c r="I162" s="15">
        <f>I335+I513+I686+I858+I1024</f>
        <v>0</v>
      </c>
      <c r="J162" s="16"/>
      <c r="K162" s="15">
        <f>K335+K513+K686+K858+K1024</f>
        <v>0</v>
      </c>
      <c r="L162" s="40"/>
      <c r="M162" s="15">
        <f>M335+M513+M686+M858+M1024</f>
        <v>0</v>
      </c>
    </row>
    <row r="163" spans="2:13" ht="6.75" customHeight="1">
      <c r="E163" s="21"/>
      <c r="F163" s="16"/>
      <c r="G163" s="21"/>
      <c r="H163" s="16"/>
      <c r="I163" s="21"/>
      <c r="J163" s="16"/>
      <c r="K163" s="21"/>
      <c r="L163" s="40"/>
      <c r="M163" s="21"/>
    </row>
    <row r="164" spans="2:13">
      <c r="B164" s="1" t="str">
        <f>B25</f>
        <v>6.  Less:  June 5,  2011 Taxes received**</v>
      </c>
      <c r="E164" s="469">
        <f>E337+E515+E688+E860+E1026</f>
        <v>0</v>
      </c>
      <c r="F164" s="16"/>
      <c r="G164" s="15">
        <f>G337+G515+G688+G860+G1026</f>
        <v>0</v>
      </c>
      <c r="H164" s="16"/>
      <c r="I164" s="15">
        <f>I337+I515+I688+I860+I1026</f>
        <v>0</v>
      </c>
      <c r="J164" s="16"/>
      <c r="K164" s="15">
        <f>K337+K515+K688+K860+K1026</f>
        <v>0</v>
      </c>
      <c r="L164" s="40"/>
      <c r="M164" s="15">
        <f>M337+M515+M688+M860+M1026</f>
        <v>0</v>
      </c>
    </row>
    <row r="165" spans="2:13" ht="8.25" customHeight="1">
      <c r="E165" s="21"/>
      <c r="F165" s="16"/>
      <c r="G165" s="21"/>
      <c r="H165" s="16"/>
      <c r="I165" s="21"/>
      <c r="J165" s="16"/>
      <c r="K165" s="21"/>
      <c r="L165" s="40"/>
      <c r="M165" s="21"/>
    </row>
    <row r="166" spans="2:13">
      <c r="B166" s="1" t="s">
        <v>286</v>
      </c>
      <c r="E166" s="469">
        <f>E339+E517+E690+E862+E1028</f>
        <v>0</v>
      </c>
      <c r="F166" s="16"/>
      <c r="G166" s="15">
        <f>G339+G517+G690+G862+G1028</f>
        <v>0</v>
      </c>
      <c r="H166" s="16"/>
      <c r="I166" s="15">
        <f>I339+I517+I690+I862+I1028</f>
        <v>0</v>
      </c>
      <c r="J166" s="16"/>
      <c r="K166" s="15">
        <f>K339+K517+K690+K862+K1028</f>
        <v>0</v>
      </c>
      <c r="L166" s="40"/>
      <c r="M166" s="15">
        <f>M339+M517+M690+M862+M1028</f>
        <v>0</v>
      </c>
    </row>
    <row r="167" spans="2:13" ht="7.5" customHeight="1">
      <c r="E167" s="16"/>
      <c r="F167" s="16"/>
      <c r="G167" s="16"/>
      <c r="H167" s="16"/>
      <c r="I167" s="16"/>
      <c r="J167" s="16"/>
      <c r="K167" s="16"/>
      <c r="L167" s="40"/>
      <c r="M167" s="16"/>
    </row>
    <row r="168" spans="2:13">
      <c r="B168" s="1" t="s">
        <v>165</v>
      </c>
      <c r="E168" s="469">
        <f>E341+E519+E692+E864+E1030</f>
        <v>0</v>
      </c>
      <c r="F168" s="16"/>
      <c r="G168" s="15">
        <f>G341+G519+G692+G864+G1030</f>
        <v>0</v>
      </c>
      <c r="H168" s="16"/>
      <c r="I168" s="15">
        <f>I341+I519+I692+I864+I1030</f>
        <v>0</v>
      </c>
      <c r="J168" s="16"/>
      <c r="K168" s="15">
        <f>K341+K519+K692+K864+K1030</f>
        <v>0</v>
      </c>
      <c r="L168" s="40"/>
      <c r="M168" s="15">
        <f>M341+M519+M692+M864+M1030</f>
        <v>0</v>
      </c>
    </row>
    <row r="169" spans="2:13">
      <c r="B169" s="1" t="s">
        <v>166</v>
      </c>
      <c r="E169" s="469">
        <f>E342+E520+E693+E865+E1031</f>
        <v>0</v>
      </c>
      <c r="F169" s="16"/>
      <c r="G169" s="15">
        <f>G342+G520+G693+G865+G1031</f>
        <v>0</v>
      </c>
      <c r="H169" s="16"/>
      <c r="I169" s="15">
        <f>I342+I520+I693+I865+I1031</f>
        <v>0</v>
      </c>
      <c r="J169" s="16"/>
      <c r="K169" s="15">
        <f>K342+K520+K693+K865+K1031</f>
        <v>0</v>
      </c>
      <c r="L169" s="40"/>
      <c r="M169" s="15">
        <f>M342+M520+M693+M865+M1031</f>
        <v>0</v>
      </c>
    </row>
    <row r="170" spans="2:13">
      <c r="B170" s="1" t="s">
        <v>331</v>
      </c>
      <c r="E170" s="469">
        <f>SUM(E158:E169)</f>
        <v>0</v>
      </c>
      <c r="F170" s="21"/>
      <c r="G170" s="15">
        <f>SUM(G158:G169)</f>
        <v>0</v>
      </c>
      <c r="H170" s="21"/>
      <c r="I170" s="15">
        <f>SUM(I158:I169)</f>
        <v>0</v>
      </c>
      <c r="J170" s="21"/>
      <c r="K170" s="15">
        <f>SUM(K158:K169)</f>
        <v>0</v>
      </c>
      <c r="L170" s="40"/>
      <c r="M170" s="15">
        <f>SUM(M158:M169)</f>
        <v>0</v>
      </c>
    </row>
    <row r="171" spans="2:13" ht="6.75" customHeight="1">
      <c r="E171" s="16"/>
      <c r="F171" s="16"/>
      <c r="G171" s="16"/>
      <c r="H171" s="16"/>
      <c r="I171" s="16"/>
      <c r="J171" s="16"/>
      <c r="K171" s="16"/>
      <c r="L171" s="40"/>
      <c r="M171" s="16"/>
    </row>
    <row r="172" spans="2:13">
      <c r="B172" s="1" t="str">
        <f>B33</f>
        <v>11. 2010 taxes receivable (taxes in process</v>
      </c>
      <c r="E172" s="16"/>
      <c r="F172" s="16"/>
      <c r="G172" s="16"/>
      <c r="H172" s="16"/>
      <c r="I172" s="16"/>
      <c r="J172" s="16"/>
      <c r="K172" s="16"/>
      <c r="L172" s="40"/>
      <c r="M172" s="16"/>
    </row>
    <row r="173" spans="2:13">
      <c r="B173" s="1" t="str">
        <f>B34</f>
        <v xml:space="preserve">     of collection 6/30/2011)(Line 2 less Line 10)</v>
      </c>
      <c r="E173" s="469">
        <f>IF(E170&lt;=0,0,E156-E170)</f>
        <v>0</v>
      </c>
      <c r="F173" s="21"/>
      <c r="G173" s="15">
        <f>IF(G170&lt;=0,0,G156-G170)</f>
        <v>0</v>
      </c>
      <c r="H173" s="21"/>
      <c r="I173" s="15">
        <f>IF(I170&lt;=0,0,I156-I170)</f>
        <v>0</v>
      </c>
      <c r="J173" s="21"/>
      <c r="K173" s="15">
        <f>IF(K170&lt;=0,0,K156-K170)</f>
        <v>0</v>
      </c>
      <c r="L173" s="21"/>
      <c r="M173" s="15">
        <f>IF(M170&lt;=0,0,M156-M170)</f>
        <v>0</v>
      </c>
    </row>
    <row r="174" spans="2:13" ht="6" customHeight="1">
      <c r="E174" s="16"/>
      <c r="F174" s="16"/>
      <c r="G174" s="16"/>
      <c r="H174" s="16"/>
      <c r="I174" s="16"/>
      <c r="J174" s="16"/>
      <c r="K174" s="16"/>
      <c r="L174" s="40"/>
      <c r="M174" s="16"/>
    </row>
    <row r="175" spans="2:13">
      <c r="B175" s="1" t="s">
        <v>236</v>
      </c>
      <c r="E175" s="16"/>
      <c r="F175" s="16"/>
      <c r="G175" s="16"/>
      <c r="H175" s="16"/>
      <c r="I175" s="16"/>
      <c r="J175" s="16"/>
      <c r="K175" s="16"/>
      <c r="L175" s="40"/>
      <c r="M175" s="16"/>
    </row>
    <row r="176" spans="2:13">
      <c r="B176" s="1" t="s">
        <v>289</v>
      </c>
      <c r="E176" s="16"/>
      <c r="F176" s="16"/>
      <c r="G176" s="16"/>
      <c r="H176" s="16"/>
      <c r="I176" s="16"/>
      <c r="J176" s="16"/>
      <c r="K176" s="16"/>
      <c r="L176" s="40"/>
      <c r="M176" s="16"/>
    </row>
    <row r="177" spans="2:14">
      <c r="B177" s="1" t="str">
        <f>B38</f>
        <v xml:space="preserve">     (7-1-2011 to 12-31-2012) (Line 3 x 75%)</v>
      </c>
      <c r="E177" s="469">
        <f>SUM(E158*0.75)</f>
        <v>0</v>
      </c>
      <c r="F177" s="21"/>
      <c r="G177" s="15">
        <f>SUM(G158*0.75)</f>
        <v>0</v>
      </c>
      <c r="H177" s="21"/>
      <c r="I177" s="15">
        <f>SUM(I158*0.75)</f>
        <v>0</v>
      </c>
      <c r="J177" s="21"/>
      <c r="K177" s="15">
        <f>SUM(K158*0.75)</f>
        <v>0</v>
      </c>
      <c r="L177" s="40"/>
      <c r="M177" s="15">
        <f>SUM(M158*0.75)</f>
        <v>0</v>
      </c>
    </row>
    <row r="178" spans="2:14" ht="5.25" customHeight="1">
      <c r="E178" s="40"/>
      <c r="F178" s="40"/>
      <c r="G178" s="40"/>
      <c r="H178" s="40"/>
      <c r="I178" s="40"/>
      <c r="J178" s="40"/>
      <c r="K178" s="40"/>
      <c r="L178" s="40"/>
      <c r="M178" s="40"/>
    </row>
    <row r="179" spans="2:14" ht="15">
      <c r="B179" s="35" t="str">
        <f>B40</f>
        <v>Tax Collection Ratio (Jan, Mar, June)</v>
      </c>
      <c r="E179" s="51">
        <f>IF(E156&lt;&gt;0,(E160+E162+E164+E166+E168)/E156*100,0)</f>
        <v>0</v>
      </c>
      <c r="F179" s="26" t="s">
        <v>290</v>
      </c>
      <c r="G179" s="51">
        <f>IF(G156&lt;&gt;0,(G160+G162+G164+G166+G168)/G156*100,0)</f>
        <v>0</v>
      </c>
      <c r="H179" s="26" t="s">
        <v>290</v>
      </c>
      <c r="I179" s="51">
        <f>IF(I156&lt;&gt;0,(I160+I162+I164+I166+I168)/I156*100,0)</f>
        <v>0</v>
      </c>
      <c r="J179" s="26" t="s">
        <v>290</v>
      </c>
      <c r="K179" s="51">
        <f>IF(K156&lt;&gt;0,(K160+K162+K164+K166+K168)/K156*100,0)</f>
        <v>0</v>
      </c>
      <c r="L179" s="26" t="s">
        <v>290</v>
      </c>
      <c r="M179" s="51">
        <f>IF(M156&lt;&gt;0,(M160+M162+M164+M166+M168)/M156*100,0)</f>
        <v>0</v>
      </c>
      <c r="N179" s="24" t="s">
        <v>290</v>
      </c>
    </row>
    <row r="180" spans="2:14" ht="4.5" customHeight="1"/>
    <row r="181" spans="2:14">
      <c r="B181" s="1" t="str">
        <f>B98</f>
        <v>*Amounts are available from the County Treasurer.       **These Jan.-June, 2011 amounts are available from the County Treasurer.  (Does not</v>
      </c>
    </row>
    <row r="182" spans="2:14">
      <c r="B182" s="1" t="str">
        <f>B99</f>
        <v xml:space="preserve"> include MVPT.  Should correspond to school records.)</v>
      </c>
    </row>
    <row r="183" spans="2:14" ht="15">
      <c r="B183" s="1" t="s">
        <v>148</v>
      </c>
      <c r="M183" s="2" t="s">
        <v>149</v>
      </c>
    </row>
    <row r="184" spans="2:14">
      <c r="B184" s="3">
        <f>B2</f>
        <v>40664</v>
      </c>
      <c r="C184" s="4"/>
      <c r="D184" s="4"/>
      <c r="F184" s="6"/>
      <c r="G184" s="6" t="s">
        <v>150</v>
      </c>
      <c r="H184" s="6"/>
      <c r="I184" s="7" t="str">
        <f>I2</f>
        <v>395 - LaCrosse</v>
      </c>
      <c r="J184" s="8"/>
      <c r="K184" s="8"/>
      <c r="L184" s="6" t="s">
        <v>151</v>
      </c>
      <c r="M184" s="9">
        <f>[2]OPEN!$B$4</f>
        <v>395</v>
      </c>
    </row>
    <row r="185" spans="2:14">
      <c r="K185" s="6" t="s">
        <v>153</v>
      </c>
      <c r="M185" s="8" t="str">
        <f>[2]OPEN!$B$5</f>
        <v>Rush</v>
      </c>
    </row>
    <row r="186" spans="2:14" ht="7.5" customHeight="1">
      <c r="E186" s="12"/>
      <c r="F186" s="12"/>
      <c r="G186" s="12"/>
      <c r="H186" s="12"/>
      <c r="I186" s="12"/>
      <c r="J186" s="12"/>
      <c r="K186" s="13"/>
      <c r="L186" s="13"/>
      <c r="M186" s="12"/>
    </row>
    <row r="187" spans="2:14">
      <c r="B187" s="12" t="str">
        <f>B6</f>
        <v>2011-2012</v>
      </c>
      <c r="C187" s="12"/>
      <c r="D187" s="12"/>
      <c r="E187" s="12"/>
      <c r="F187" s="12"/>
      <c r="G187" s="12"/>
      <c r="H187" s="12"/>
      <c r="I187" s="12"/>
      <c r="J187" s="12"/>
      <c r="K187" s="12"/>
      <c r="L187" s="12"/>
      <c r="M187" s="12"/>
    </row>
    <row r="188" spans="2:14">
      <c r="B188" s="12" t="s">
        <v>155</v>
      </c>
      <c r="C188" s="12"/>
      <c r="D188" s="12"/>
      <c r="E188" s="12"/>
      <c r="F188" s="12"/>
      <c r="G188" s="12"/>
      <c r="H188" s="12"/>
      <c r="I188" s="12"/>
      <c r="J188" s="12"/>
      <c r="K188" s="12"/>
      <c r="L188" s="12"/>
      <c r="M188" s="12"/>
    </row>
    <row r="189" spans="2:14">
      <c r="B189" s="12" t="s">
        <v>156</v>
      </c>
      <c r="C189" s="12"/>
      <c r="D189" s="12"/>
      <c r="E189" s="12"/>
      <c r="F189" s="12"/>
      <c r="G189" s="12"/>
      <c r="H189" s="12"/>
      <c r="I189" s="12"/>
      <c r="J189" s="12"/>
      <c r="K189" s="12"/>
      <c r="L189" s="12"/>
      <c r="M189" s="12"/>
    </row>
    <row r="190" spans="2:14" ht="15">
      <c r="B190" s="14" t="s">
        <v>157</v>
      </c>
      <c r="C190" s="14"/>
      <c r="D190" s="14"/>
      <c r="E190" s="12"/>
      <c r="F190" s="12"/>
      <c r="G190" s="12"/>
      <c r="H190" s="12"/>
      <c r="I190" s="12"/>
      <c r="J190" s="12"/>
      <c r="K190" s="12"/>
      <c r="L190" s="12"/>
      <c r="M190" s="12"/>
    </row>
    <row r="191" spans="2:14" ht="6.75" customHeight="1"/>
    <row r="192" spans="2:14" ht="15">
      <c r="E192" s="10"/>
      <c r="F192" s="10"/>
      <c r="G192" s="10" t="s">
        <v>158</v>
      </c>
      <c r="H192" s="10"/>
      <c r="I192" s="10" t="s">
        <v>159</v>
      </c>
      <c r="J192" s="10"/>
      <c r="K192" s="10" t="s">
        <v>160</v>
      </c>
      <c r="L192" s="10"/>
      <c r="M192" s="10"/>
    </row>
    <row r="193" spans="2:13" ht="15">
      <c r="E193" s="10" t="s">
        <v>280</v>
      </c>
      <c r="F193" s="10"/>
      <c r="G193" s="10" t="s">
        <v>280</v>
      </c>
      <c r="H193" s="10"/>
      <c r="I193" s="10" t="s">
        <v>281</v>
      </c>
      <c r="J193" s="10"/>
      <c r="K193" s="10" t="s">
        <v>282</v>
      </c>
      <c r="L193" s="10"/>
      <c r="M193" s="10" t="s">
        <v>283</v>
      </c>
    </row>
    <row r="194" spans="2:13" ht="15">
      <c r="E194" s="10" t="s">
        <v>284</v>
      </c>
      <c r="F194" s="10"/>
      <c r="G194" s="10" t="s">
        <v>284</v>
      </c>
      <c r="H194" s="10"/>
      <c r="I194" s="10" t="s">
        <v>284</v>
      </c>
      <c r="J194" s="10"/>
      <c r="K194" s="10" t="str">
        <f>K13</f>
        <v>Fund #1</v>
      </c>
      <c r="L194" s="10"/>
      <c r="M194" s="10" t="str">
        <f>M13</f>
        <v>Fund</v>
      </c>
    </row>
    <row r="195" spans="2:13" ht="7.5" customHeight="1"/>
    <row r="196" spans="2:13">
      <c r="B196" s="1" t="str">
        <f>B15</f>
        <v>1.  County Treasurer Balance 6/30/2011 *</v>
      </c>
      <c r="E196" s="52"/>
      <c r="F196" s="46"/>
      <c r="G196" s="52"/>
      <c r="H196" s="46"/>
      <c r="I196" s="52"/>
      <c r="J196" s="46"/>
      <c r="K196" s="52"/>
      <c r="L196" s="46"/>
      <c r="M196" s="52"/>
    </row>
    <row r="197" spans="2:13" ht="7.5" customHeight="1">
      <c r="B197" s="17"/>
      <c r="C197" s="17"/>
      <c r="D197" s="17"/>
      <c r="E197" s="53"/>
      <c r="F197" s="53"/>
      <c r="G197" s="53"/>
      <c r="H197" s="53"/>
      <c r="I197" s="53"/>
      <c r="J197" s="53"/>
      <c r="K197" s="53"/>
      <c r="L197" s="53"/>
      <c r="M197" s="53"/>
    </row>
    <row r="198" spans="2:13">
      <c r="B198" s="1" t="str">
        <f>B17</f>
        <v>2.  2010 Actual Taxes Levied*</v>
      </c>
      <c r="E198" s="52">
        <v>341955</v>
      </c>
      <c r="F198" s="46"/>
      <c r="G198" s="52">
        <v>426685</v>
      </c>
      <c r="H198" s="46"/>
      <c r="I198" s="52">
        <v>57851</v>
      </c>
      <c r="J198" s="46"/>
      <c r="K198" s="52"/>
      <c r="L198" s="46"/>
      <c r="M198" s="52"/>
    </row>
    <row r="199" spans="2:13" ht="8.25" customHeight="1">
      <c r="E199" s="46"/>
      <c r="F199" s="46"/>
      <c r="G199" s="46"/>
      <c r="H199" s="46"/>
      <c r="I199" s="46"/>
      <c r="J199" s="46"/>
      <c r="K199" s="46"/>
      <c r="L199" s="46"/>
      <c r="M199" s="46"/>
    </row>
    <row r="200" spans="2:13">
      <c r="B200" s="1" t="s">
        <v>285</v>
      </c>
      <c r="C200" s="19">
        <v>1</v>
      </c>
      <c r="E200" s="15">
        <f>SUM(E198*$C$200/100)</f>
        <v>3420</v>
      </c>
      <c r="F200" s="15"/>
      <c r="G200" s="15">
        <f>SUM(G198*$C$200/100)</f>
        <v>4267</v>
      </c>
      <c r="H200" s="15"/>
      <c r="I200" s="15">
        <f>SUM(I198*$C$200/100)</f>
        <v>579</v>
      </c>
      <c r="J200" s="15"/>
      <c r="K200" s="15">
        <f>SUM(K198*$C$200/100)</f>
        <v>0</v>
      </c>
      <c r="L200" s="15"/>
      <c r="M200" s="15">
        <f>SUM(M198*$C$200/100)</f>
        <v>0</v>
      </c>
    </row>
    <row r="201" spans="2:13" ht="8.25" customHeight="1">
      <c r="E201" s="46"/>
      <c r="F201" s="46"/>
      <c r="G201" s="46"/>
      <c r="H201" s="46"/>
      <c r="I201" s="46"/>
      <c r="J201" s="46"/>
      <c r="K201" s="46"/>
      <c r="L201" s="46"/>
      <c r="M201" s="46"/>
    </row>
    <row r="202" spans="2:13">
      <c r="B202" s="1" t="str">
        <f>B21</f>
        <v>4.  Less:  Jan. 20, 2011 Taxes received**</v>
      </c>
      <c r="C202" s="6"/>
      <c r="E202" s="52">
        <v>229219</v>
      </c>
      <c r="F202" s="46"/>
      <c r="G202" s="52">
        <v>281191</v>
      </c>
      <c r="H202" s="46"/>
      <c r="I202" s="52">
        <v>38124</v>
      </c>
      <c r="J202" s="46"/>
      <c r="K202" s="52"/>
      <c r="L202" s="46"/>
      <c r="M202" s="52"/>
    </row>
    <row r="203" spans="2:13" ht="6.75" customHeight="1">
      <c r="E203" s="46"/>
      <c r="F203" s="46"/>
      <c r="G203" s="46"/>
      <c r="H203" s="46"/>
      <c r="I203" s="16"/>
      <c r="J203" s="46"/>
      <c r="K203" s="46"/>
      <c r="L203" s="46"/>
      <c r="M203" s="46"/>
    </row>
    <row r="204" spans="2:13">
      <c r="B204" s="1" t="str">
        <f>B23</f>
        <v>5.  Less:  Mar. 20, 2011  Taxes received**</v>
      </c>
      <c r="E204" s="52">
        <v>3246</v>
      </c>
      <c r="F204" s="46"/>
      <c r="G204" s="52">
        <v>6562</v>
      </c>
      <c r="H204" s="46"/>
      <c r="I204" s="52">
        <v>890</v>
      </c>
      <c r="J204" s="46"/>
      <c r="K204" s="52"/>
      <c r="L204" s="46"/>
      <c r="M204" s="52"/>
    </row>
    <row r="205" spans="2:13" ht="6.75" customHeight="1">
      <c r="E205" s="46"/>
      <c r="F205" s="46"/>
      <c r="G205" s="46"/>
      <c r="H205" s="46"/>
      <c r="I205" s="46"/>
      <c r="J205" s="46"/>
      <c r="K205" s="46"/>
      <c r="L205" s="46"/>
      <c r="M205" s="46"/>
    </row>
    <row r="206" spans="2:13">
      <c r="B206" s="1" t="str">
        <f>B25</f>
        <v>6.  Less:  June 5,  2011 Taxes received**</v>
      </c>
      <c r="E206" s="52">
        <v>94765</v>
      </c>
      <c r="F206" s="46"/>
      <c r="G206" s="52">
        <v>118230</v>
      </c>
      <c r="H206" s="46"/>
      <c r="I206" s="52">
        <v>16030</v>
      </c>
      <c r="J206" s="46"/>
      <c r="K206" s="52"/>
      <c r="L206" s="46"/>
      <c r="M206" s="52"/>
    </row>
    <row r="207" spans="2:13" ht="6.75" customHeight="1">
      <c r="E207" s="46"/>
      <c r="F207" s="46"/>
      <c r="G207" s="46"/>
      <c r="H207" s="46"/>
      <c r="I207" s="46"/>
      <c r="J207" s="46"/>
      <c r="K207" s="46"/>
      <c r="L207" s="46"/>
      <c r="M207" s="46"/>
    </row>
    <row r="208" spans="2:13">
      <c r="B208" s="1" t="s">
        <v>286</v>
      </c>
      <c r="E208" s="52"/>
      <c r="F208" s="16"/>
      <c r="G208" s="52"/>
      <c r="H208" s="46"/>
      <c r="I208" s="52"/>
      <c r="J208" s="46"/>
      <c r="K208" s="52"/>
      <c r="L208" s="46"/>
      <c r="M208" s="52"/>
    </row>
    <row r="209" spans="2:14" ht="5.25" customHeight="1">
      <c r="E209" s="46"/>
      <c r="F209" s="46"/>
      <c r="G209" s="46"/>
      <c r="H209" s="46"/>
      <c r="I209" s="46"/>
      <c r="J209" s="46"/>
      <c r="K209" s="46"/>
      <c r="L209" s="46"/>
      <c r="M209" s="46"/>
    </row>
    <row r="210" spans="2:14">
      <c r="B210" s="1" t="s">
        <v>165</v>
      </c>
      <c r="E210" s="52"/>
      <c r="F210" s="46"/>
      <c r="G210" s="52"/>
      <c r="H210" s="46"/>
      <c r="I210" s="52"/>
      <c r="J210" s="46"/>
      <c r="K210" s="52"/>
      <c r="L210" s="46"/>
      <c r="M210" s="52"/>
    </row>
    <row r="211" spans="2:14">
      <c r="B211" s="1" t="s">
        <v>166</v>
      </c>
      <c r="E211" s="54"/>
      <c r="F211" s="46"/>
      <c r="G211" s="54"/>
      <c r="H211" s="46"/>
      <c r="I211" s="54"/>
      <c r="J211" s="46"/>
      <c r="K211" s="54"/>
      <c r="L211" s="46"/>
      <c r="M211" s="54"/>
    </row>
    <row r="212" spans="2:14">
      <c r="B212" s="1" t="s">
        <v>167</v>
      </c>
      <c r="E212" s="15">
        <f>SUM(E200:E211)</f>
        <v>330650</v>
      </c>
      <c r="F212" s="16"/>
      <c r="G212" s="15">
        <f>SUM(G200:G211)</f>
        <v>410250</v>
      </c>
      <c r="H212" s="16"/>
      <c r="I212" s="15">
        <f>SUM(I200:I211)</f>
        <v>55623</v>
      </c>
      <c r="J212" s="16"/>
      <c r="K212" s="15">
        <f>SUM(K200:K211)</f>
        <v>0</v>
      </c>
      <c r="L212" s="16"/>
      <c r="M212" s="15">
        <f>SUM(M200:M211)</f>
        <v>0</v>
      </c>
    </row>
    <row r="213" spans="2:14" ht="7.5" customHeight="1">
      <c r="E213" s="16"/>
      <c r="F213" s="16"/>
      <c r="G213" s="16"/>
      <c r="H213" s="16"/>
      <c r="I213" s="16"/>
      <c r="J213" s="16"/>
      <c r="K213" s="16"/>
      <c r="L213" s="16"/>
      <c r="M213" s="16"/>
    </row>
    <row r="214" spans="2:14">
      <c r="B214" s="1" t="str">
        <f>B33</f>
        <v>11. 2010 taxes receivable (taxes in process</v>
      </c>
      <c r="E214" s="16"/>
      <c r="F214" s="16"/>
      <c r="G214" s="16"/>
      <c r="H214" s="16"/>
      <c r="I214" s="16"/>
      <c r="J214" s="16"/>
      <c r="K214" s="16"/>
      <c r="L214" s="16"/>
      <c r="M214" s="16"/>
    </row>
    <row r="215" spans="2:14">
      <c r="B215" s="1" t="str">
        <f>B34</f>
        <v xml:space="preserve">     of collection 6/30/2011)(Line 2 less Line 10)</v>
      </c>
      <c r="E215" s="15">
        <f>IF(E212&lt;=0,0,E198-E212)</f>
        <v>11305</v>
      </c>
      <c r="F215" s="16"/>
      <c r="G215" s="15">
        <f>IF(G212&lt;=0,0,G198-G212)</f>
        <v>16435</v>
      </c>
      <c r="H215" s="16"/>
      <c r="I215" s="15">
        <f>IF(I212&lt;=0,0,I198-I212)</f>
        <v>2228</v>
      </c>
      <c r="J215" s="16"/>
      <c r="K215" s="15">
        <f>IF(K212&lt;=0,0,(K198-K212))</f>
        <v>0</v>
      </c>
      <c r="L215" s="16"/>
      <c r="M215" s="15">
        <f>IF(M212&lt;=0,0,M198-M212)</f>
        <v>0</v>
      </c>
    </row>
    <row r="216" spans="2:14" ht="6.75" customHeight="1">
      <c r="E216" s="21"/>
      <c r="F216" s="16"/>
      <c r="G216" s="21"/>
      <c r="H216" s="16"/>
      <c r="I216" s="21"/>
      <c r="J216" s="16"/>
      <c r="K216" s="21"/>
      <c r="L216" s="16"/>
      <c r="M216" s="21"/>
    </row>
    <row r="217" spans="2:14">
      <c r="B217" s="1" t="s">
        <v>288</v>
      </c>
      <c r="E217" s="16"/>
      <c r="F217" s="16"/>
      <c r="G217" s="16"/>
      <c r="H217" s="16"/>
      <c r="I217" s="16"/>
      <c r="J217" s="16"/>
      <c r="K217" s="16"/>
      <c r="L217" s="16"/>
      <c r="M217" s="16"/>
    </row>
    <row r="218" spans="2:14">
      <c r="B218" s="1" t="s">
        <v>289</v>
      </c>
      <c r="E218" s="16"/>
      <c r="F218" s="16"/>
      <c r="G218" s="16"/>
      <c r="H218" s="16"/>
      <c r="I218" s="16"/>
      <c r="J218" s="16"/>
      <c r="K218" s="16"/>
      <c r="L218" s="16"/>
      <c r="M218" s="16"/>
    </row>
    <row r="219" spans="2:14">
      <c r="B219" s="1" t="str">
        <f>B38</f>
        <v xml:space="preserve">     (7-1-2011 to 12-31-2012) (Line 3 x 75%)</v>
      </c>
      <c r="E219" s="15">
        <f>SUM(E200*0.75)</f>
        <v>2565</v>
      </c>
      <c r="F219" s="16"/>
      <c r="G219" s="15">
        <f>SUM(G200*0.75)</f>
        <v>3200</v>
      </c>
      <c r="H219" s="16"/>
      <c r="I219" s="15">
        <f>SUM(I200*0.75)</f>
        <v>434</v>
      </c>
      <c r="J219" s="16"/>
      <c r="K219" s="15">
        <f>SUM(K200*0.75)</f>
        <v>0</v>
      </c>
      <c r="L219" s="16"/>
      <c r="M219" s="15">
        <f>SUM(M200*0.75)</f>
        <v>0</v>
      </c>
    </row>
    <row r="220" spans="2:14" ht="15">
      <c r="B220" s="41" t="str">
        <f>B40</f>
        <v>Tax Collection Ratio (Jan, Mar, June)</v>
      </c>
      <c r="C220" s="17"/>
      <c r="D220" s="17"/>
      <c r="E220" s="42">
        <f>IF(E198&lt;&gt;0,(E202+E204+E206+E208+E210)/E198*100,0)</f>
        <v>95.694000000000003</v>
      </c>
      <c r="F220" s="26" t="s">
        <v>290</v>
      </c>
      <c r="G220" s="42">
        <f>IF(G198&lt;&gt;0,(G202+G204+G206+G208+G210)/G198*100,0)</f>
        <v>95.147999999999996</v>
      </c>
      <c r="H220" s="26" t="s">
        <v>290</v>
      </c>
      <c r="I220" s="42">
        <f>IF(I198&lt;&gt;0,(I202+I204+I206+I208+I210)/I198*100,0)</f>
        <v>95.147999999999996</v>
      </c>
      <c r="J220" s="26" t="s">
        <v>290</v>
      </c>
      <c r="K220" s="42">
        <f>IF(K198&lt;&gt;0,(K202+K204+K206+K208+K210)/K198*100,0)</f>
        <v>0</v>
      </c>
      <c r="L220" s="26" t="s">
        <v>290</v>
      </c>
      <c r="M220" s="42">
        <f>IF(M198&lt;&gt;0,(M202+M204+M206+M208+M210)/M198*100,0)</f>
        <v>0</v>
      </c>
      <c r="N220" s="24" t="s">
        <v>290</v>
      </c>
    </row>
    <row r="221" spans="2:14" ht="2.1" customHeight="1">
      <c r="B221" s="27"/>
      <c r="C221" s="24"/>
      <c r="D221" s="24"/>
      <c r="E221" s="24"/>
      <c r="F221" s="24"/>
      <c r="G221" s="24"/>
      <c r="H221" s="24"/>
      <c r="I221" s="24"/>
      <c r="J221" s="24"/>
      <c r="K221" s="24"/>
      <c r="L221" s="24"/>
      <c r="M221" s="24"/>
    </row>
    <row r="222" spans="2:14" ht="3.75" hidden="1" customHeight="1">
      <c r="B222" s="37"/>
      <c r="C222" s="37"/>
      <c r="D222" s="37"/>
      <c r="E222" s="37"/>
      <c r="F222" s="37"/>
      <c r="G222" s="37"/>
      <c r="H222" s="37"/>
      <c r="I222" s="37"/>
      <c r="J222" s="37"/>
      <c r="K222" s="37"/>
      <c r="L222" s="37"/>
      <c r="M222" s="37"/>
    </row>
    <row r="223" spans="2:14" ht="2.1" hidden="1" customHeight="1">
      <c r="B223" s="37"/>
      <c r="C223" s="37"/>
      <c r="D223" s="37"/>
      <c r="E223" s="37"/>
      <c r="F223" s="37"/>
      <c r="G223" s="37"/>
      <c r="H223" s="37"/>
      <c r="I223" s="37"/>
      <c r="J223" s="37"/>
      <c r="K223" s="37"/>
      <c r="L223" s="37"/>
      <c r="M223" s="37"/>
    </row>
    <row r="224" spans="2:14" ht="2.1" hidden="1" customHeight="1">
      <c r="B224" s="37"/>
      <c r="C224" s="37"/>
      <c r="D224" s="37"/>
      <c r="E224" s="37"/>
      <c r="F224" s="37"/>
      <c r="G224" s="37"/>
      <c r="H224" s="37"/>
      <c r="I224" s="37"/>
      <c r="J224" s="37"/>
      <c r="K224" s="37"/>
      <c r="L224" s="37"/>
      <c r="M224" s="37"/>
    </row>
    <row r="225" spans="2:14" ht="3.75" hidden="1" customHeight="1">
      <c r="B225" s="37"/>
      <c r="C225" s="37"/>
      <c r="D225" s="37"/>
      <c r="E225" s="37"/>
      <c r="F225" s="37"/>
      <c r="G225" s="37"/>
      <c r="H225" s="37"/>
      <c r="I225" s="37"/>
      <c r="J225" s="37"/>
      <c r="K225" s="37"/>
      <c r="L225" s="37"/>
      <c r="M225" s="37"/>
    </row>
    <row r="226" spans="2:14" ht="12" customHeight="1">
      <c r="B226" s="1" t="str">
        <f>B98</f>
        <v>*Amounts are available from the County Treasurer.       **These Jan.-June, 2011 amounts are available from the County Treasurer.  (Does not</v>
      </c>
      <c r="C226" s="37"/>
      <c r="D226" s="37"/>
      <c r="E226" s="37"/>
      <c r="F226" s="37"/>
      <c r="G226" s="37"/>
      <c r="H226" s="37"/>
      <c r="I226" s="37"/>
      <c r="J226" s="37"/>
      <c r="K226" s="37"/>
      <c r="L226" s="37"/>
      <c r="M226" s="37"/>
    </row>
    <row r="227" spans="2:14" ht="5.0999999999999996" hidden="1" customHeight="1">
      <c r="B227" s="37"/>
      <c r="C227" s="37"/>
      <c r="D227" s="37"/>
      <c r="E227" s="37"/>
      <c r="F227" s="37"/>
      <c r="G227" s="37"/>
      <c r="H227" s="37"/>
      <c r="I227" s="37"/>
      <c r="J227" s="37"/>
      <c r="K227" s="37"/>
      <c r="L227" s="37"/>
      <c r="M227" s="37"/>
    </row>
    <row r="228" spans="2:14" ht="14.1" customHeight="1">
      <c r="B228" s="1" t="str">
        <f>B99</f>
        <v xml:space="preserve"> include MVPT.  Should correspond to school records.)</v>
      </c>
      <c r="C228" s="37"/>
      <c r="D228" s="37"/>
      <c r="E228" s="37"/>
      <c r="F228" s="37"/>
      <c r="G228" s="37"/>
      <c r="H228" s="37"/>
      <c r="I228" s="37"/>
      <c r="J228" s="37"/>
      <c r="K228" s="37"/>
      <c r="L228" s="37"/>
      <c r="M228" s="37"/>
    </row>
    <row r="229" spans="2:14">
      <c r="B229" s="1" t="s">
        <v>354</v>
      </c>
    </row>
    <row r="230" spans="2:14" ht="15">
      <c r="B230" s="1" t="s">
        <v>148</v>
      </c>
      <c r="M230" s="2" t="s">
        <v>178</v>
      </c>
    </row>
    <row r="231" spans="2:14">
      <c r="B231" s="3">
        <f>B2</f>
        <v>40664</v>
      </c>
      <c r="C231" s="4"/>
      <c r="D231" s="4"/>
      <c r="F231" s="6"/>
      <c r="G231" s="6" t="s">
        <v>150</v>
      </c>
      <c r="H231" s="6"/>
      <c r="I231" s="8" t="str">
        <f>I184</f>
        <v>395 - LaCrosse</v>
      </c>
      <c r="J231" s="8"/>
      <c r="K231" s="38" t="s">
        <v>151</v>
      </c>
      <c r="L231" s="37"/>
      <c r="M231" s="9">
        <f>M184</f>
        <v>395</v>
      </c>
    </row>
    <row r="232" spans="2:14">
      <c r="K232" s="6" t="s">
        <v>153</v>
      </c>
      <c r="M232" s="8" t="str">
        <f>M185</f>
        <v>Rush</v>
      </c>
    </row>
    <row r="233" spans="2:14" ht="6.75" customHeight="1">
      <c r="E233" s="12"/>
      <c r="F233" s="12"/>
      <c r="G233" s="12"/>
      <c r="H233" s="12"/>
      <c r="I233" s="12"/>
      <c r="J233" s="12"/>
      <c r="K233" s="13"/>
      <c r="L233" s="13"/>
      <c r="M233" s="12"/>
    </row>
    <row r="234" spans="2:14">
      <c r="B234" s="12" t="str">
        <f>B6</f>
        <v>2011-2012</v>
      </c>
      <c r="C234" s="12"/>
      <c r="D234" s="12"/>
      <c r="E234" s="12"/>
      <c r="F234" s="12"/>
      <c r="G234" s="12"/>
      <c r="H234" s="12"/>
      <c r="I234" s="12"/>
      <c r="J234" s="12"/>
      <c r="K234" s="12"/>
      <c r="L234" s="12"/>
      <c r="M234" s="12"/>
    </row>
    <row r="235" spans="2:14">
      <c r="B235" s="12" t="s">
        <v>155</v>
      </c>
      <c r="C235" s="12"/>
      <c r="D235" s="12"/>
      <c r="E235" s="12"/>
      <c r="F235" s="12"/>
      <c r="G235" s="12"/>
      <c r="H235" s="12"/>
      <c r="I235" s="12"/>
      <c r="J235" s="12"/>
      <c r="K235" s="12"/>
      <c r="L235" s="12"/>
      <c r="M235" s="12"/>
    </row>
    <row r="236" spans="2:14">
      <c r="B236" s="12" t="s">
        <v>156</v>
      </c>
      <c r="C236" s="12"/>
      <c r="D236" s="12"/>
      <c r="E236" s="12"/>
      <c r="F236" s="12"/>
      <c r="G236" s="12"/>
      <c r="H236" s="12"/>
      <c r="I236" s="12"/>
      <c r="J236" s="12"/>
      <c r="K236" s="12"/>
      <c r="L236" s="12"/>
      <c r="M236" s="12"/>
    </row>
    <row r="237" spans="2:14" ht="15">
      <c r="B237" s="14" t="s">
        <v>157</v>
      </c>
      <c r="C237" s="14"/>
      <c r="D237" s="14"/>
      <c r="E237" s="12"/>
      <c r="F237" s="12"/>
      <c r="G237" s="12"/>
      <c r="H237" s="12"/>
      <c r="I237" s="12"/>
      <c r="J237" s="12"/>
      <c r="K237" s="12"/>
      <c r="L237" s="12"/>
      <c r="M237" s="12"/>
    </row>
    <row r="238" spans="2:14" ht="6.75" customHeight="1">
      <c r="E238" s="10"/>
      <c r="F238" s="10"/>
      <c r="G238" s="10"/>
      <c r="H238" s="10"/>
      <c r="I238" s="10"/>
      <c r="J238" s="10"/>
      <c r="K238" s="10"/>
      <c r="L238" s="10"/>
      <c r="M238" s="10"/>
    </row>
    <row r="239" spans="2:14" ht="15">
      <c r="E239" s="10" t="s">
        <v>179</v>
      </c>
      <c r="F239" s="10"/>
      <c r="G239" s="419" t="s">
        <v>180</v>
      </c>
      <c r="H239" s="10"/>
      <c r="I239" s="419" t="s">
        <v>181</v>
      </c>
      <c r="J239" s="10"/>
      <c r="K239" s="419" t="s">
        <v>30</v>
      </c>
      <c r="M239"/>
      <c r="N239"/>
    </row>
    <row r="240" spans="2:14" ht="15">
      <c r="E240" s="10" t="s">
        <v>328</v>
      </c>
      <c r="F240" s="10"/>
      <c r="G240" s="10" t="s">
        <v>24</v>
      </c>
      <c r="H240" s="10"/>
      <c r="I240" s="419" t="s">
        <v>329</v>
      </c>
      <c r="J240" s="10"/>
      <c r="K240" s="419" t="str">
        <f>K61</f>
        <v>Interest #2</v>
      </c>
      <c r="M240"/>
      <c r="N240"/>
    </row>
    <row r="241" spans="2:14" ht="8.25" customHeight="1">
      <c r="M241"/>
      <c r="N241"/>
    </row>
    <row r="242" spans="2:14">
      <c r="B242" s="1" t="str">
        <f>B15</f>
        <v>1.  County Treasurer Balance 6/30/2011 *</v>
      </c>
      <c r="E242" s="52"/>
      <c r="F242" s="46"/>
      <c r="G242" s="52"/>
      <c r="H242" s="46"/>
      <c r="I242" s="52"/>
      <c r="J242" s="46"/>
      <c r="K242" s="52"/>
      <c r="M242"/>
      <c r="N242"/>
    </row>
    <row r="243" spans="2:14" ht="6" customHeight="1">
      <c r="B243" s="17"/>
      <c r="C243" s="17"/>
      <c r="D243" s="17"/>
      <c r="E243" s="53"/>
      <c r="F243" s="53"/>
      <c r="G243" s="53"/>
      <c r="H243" s="53"/>
      <c r="I243" s="53"/>
      <c r="J243" s="53"/>
      <c r="K243" s="53"/>
      <c r="M243"/>
      <c r="N243"/>
    </row>
    <row r="244" spans="2:14">
      <c r="B244" s="1" t="str">
        <f>B17</f>
        <v>2.  2010 Actual Taxes Levied*</v>
      </c>
      <c r="E244" s="52"/>
      <c r="F244" s="46"/>
      <c r="G244" s="52"/>
      <c r="H244" s="46"/>
      <c r="I244" s="52"/>
      <c r="J244" s="46"/>
      <c r="K244" s="52"/>
      <c r="M244"/>
      <c r="N244"/>
    </row>
    <row r="245" spans="2:14" ht="7.5" customHeight="1">
      <c r="E245" s="46"/>
      <c r="F245" s="46"/>
      <c r="G245" s="46"/>
      <c r="H245" s="46"/>
      <c r="I245" s="46"/>
      <c r="J245" s="46"/>
      <c r="K245" s="46"/>
      <c r="M245"/>
      <c r="N245"/>
    </row>
    <row r="246" spans="2:14">
      <c r="B246" s="1" t="s">
        <v>330</v>
      </c>
      <c r="C246" s="33">
        <f>C200</f>
        <v>1</v>
      </c>
      <c r="D246" s="40"/>
      <c r="E246" s="15">
        <f>E244*$C$246/100</f>
        <v>0</v>
      </c>
      <c r="F246" s="15"/>
      <c r="G246" s="15">
        <f>G244*$C$246/100</f>
        <v>0</v>
      </c>
      <c r="H246" s="15"/>
      <c r="I246" s="15">
        <f>I244*$C$246/100</f>
        <v>0</v>
      </c>
      <c r="J246" s="15"/>
      <c r="K246" s="15">
        <f>K244*$C$246/100</f>
        <v>0</v>
      </c>
      <c r="L246" s="21"/>
      <c r="M246"/>
      <c r="N246"/>
    </row>
    <row r="247" spans="2:14" ht="7.5" customHeight="1">
      <c r="E247" s="46"/>
      <c r="F247" s="46"/>
      <c r="G247" s="46"/>
      <c r="H247" s="46"/>
      <c r="I247" s="46"/>
      <c r="J247" s="46"/>
      <c r="K247" s="46"/>
      <c r="M247"/>
      <c r="N247"/>
    </row>
    <row r="248" spans="2:14">
      <c r="B248" s="1" t="str">
        <f>B21</f>
        <v>4.  Less:  Jan. 20, 2011 Taxes received**</v>
      </c>
      <c r="E248" s="52"/>
      <c r="F248" s="46"/>
      <c r="G248" s="52"/>
      <c r="H248" s="46"/>
      <c r="I248" s="52"/>
      <c r="J248" s="46"/>
      <c r="K248" s="52"/>
      <c r="M248"/>
      <c r="N248"/>
    </row>
    <row r="249" spans="2:14" ht="7.5" customHeight="1">
      <c r="E249" s="46"/>
      <c r="F249" s="46"/>
      <c r="G249" s="46"/>
      <c r="H249" s="46"/>
      <c r="I249" s="46"/>
      <c r="J249" s="46"/>
      <c r="K249" s="46"/>
      <c r="M249"/>
      <c r="N249"/>
    </row>
    <row r="250" spans="2:14">
      <c r="B250" s="1" t="str">
        <f>B23</f>
        <v>5.  Less:  Mar. 20, 2011  Taxes received**</v>
      </c>
      <c r="E250" s="52"/>
      <c r="F250" s="46"/>
      <c r="G250" s="52"/>
      <c r="H250" s="46"/>
      <c r="I250" s="52"/>
      <c r="J250" s="46"/>
      <c r="K250" s="52"/>
      <c r="M250"/>
      <c r="N250"/>
    </row>
    <row r="251" spans="2:14" ht="6.75" customHeight="1">
      <c r="E251" s="56"/>
      <c r="F251" s="46"/>
      <c r="G251" s="56"/>
      <c r="H251" s="46"/>
      <c r="I251" s="56"/>
      <c r="J251" s="46"/>
      <c r="K251" s="56"/>
      <c r="M251"/>
      <c r="N251"/>
    </row>
    <row r="252" spans="2:14">
      <c r="B252" s="1" t="str">
        <f>B25</f>
        <v>6.  Less:  June 5,  2011 Taxes received**</v>
      </c>
      <c r="E252" s="52"/>
      <c r="F252" s="46"/>
      <c r="G252" s="52"/>
      <c r="H252" s="46"/>
      <c r="I252" s="52"/>
      <c r="J252" s="46"/>
      <c r="K252" s="52"/>
      <c r="M252"/>
      <c r="N252"/>
    </row>
    <row r="253" spans="2:14" ht="8.25" customHeight="1">
      <c r="E253" s="56"/>
      <c r="F253" s="46"/>
      <c r="G253" s="56"/>
      <c r="H253" s="46"/>
      <c r="I253" s="56"/>
      <c r="J253" s="46"/>
      <c r="K253" s="56"/>
      <c r="M253"/>
      <c r="N253"/>
    </row>
    <row r="254" spans="2:14">
      <c r="B254" s="1" t="s">
        <v>286</v>
      </c>
      <c r="E254" s="52"/>
      <c r="F254" s="46"/>
      <c r="G254" s="52"/>
      <c r="H254" s="46"/>
      <c r="I254" s="52"/>
      <c r="J254" s="46"/>
      <c r="K254" s="52"/>
      <c r="M254"/>
      <c r="N254"/>
    </row>
    <row r="255" spans="2:14" ht="6.75" customHeight="1">
      <c r="E255" s="46"/>
      <c r="F255" s="46"/>
      <c r="G255" s="46"/>
      <c r="H255" s="46"/>
      <c r="I255" s="46"/>
      <c r="J255" s="46"/>
      <c r="K255" s="46"/>
      <c r="M255"/>
      <c r="N255"/>
    </row>
    <row r="256" spans="2:14">
      <c r="B256" s="1" t="s">
        <v>165</v>
      </c>
      <c r="E256" s="52"/>
      <c r="F256" s="46"/>
      <c r="G256" s="52"/>
      <c r="H256" s="46"/>
      <c r="I256" s="52"/>
      <c r="J256" s="46"/>
      <c r="K256" s="52"/>
      <c r="M256"/>
      <c r="N256"/>
    </row>
    <row r="257" spans="2:14">
      <c r="B257" s="1" t="s">
        <v>166</v>
      </c>
      <c r="E257" s="54"/>
      <c r="F257" s="46"/>
      <c r="G257" s="54"/>
      <c r="H257" s="46"/>
      <c r="I257" s="54"/>
      <c r="J257" s="46"/>
      <c r="K257" s="54"/>
      <c r="M257"/>
      <c r="N257"/>
    </row>
    <row r="258" spans="2:14">
      <c r="B258" s="1" t="s">
        <v>331</v>
      </c>
      <c r="E258" s="15">
        <f>SUM(E246:E257)</f>
        <v>0</v>
      </c>
      <c r="F258" s="21"/>
      <c r="G258" s="15">
        <f>SUM(G246:G257)</f>
        <v>0</v>
      </c>
      <c r="H258" s="21"/>
      <c r="I258" s="15">
        <f>SUM(I246:I257)</f>
        <v>0</v>
      </c>
      <c r="J258" s="21"/>
      <c r="K258" s="15">
        <f>SUM(K246:K257)</f>
        <v>0</v>
      </c>
      <c r="L258" s="40"/>
      <c r="M258"/>
      <c r="N258"/>
    </row>
    <row r="259" spans="2:14" ht="6" customHeight="1">
      <c r="E259" s="16"/>
      <c r="F259" s="16"/>
      <c r="G259" s="16"/>
      <c r="H259" s="16"/>
      <c r="I259" s="16"/>
      <c r="J259" s="16"/>
      <c r="K259" s="16"/>
      <c r="L259" s="40"/>
      <c r="M259"/>
      <c r="N259"/>
    </row>
    <row r="260" spans="2:14">
      <c r="B260" s="1" t="str">
        <f>B33</f>
        <v>11. 2010 taxes receivable (taxes in process</v>
      </c>
      <c r="E260" s="16"/>
      <c r="F260" s="16"/>
      <c r="G260" s="16"/>
      <c r="H260" s="16"/>
      <c r="I260" s="16"/>
      <c r="J260" s="16"/>
      <c r="K260" s="16"/>
      <c r="L260" s="40"/>
      <c r="M260"/>
      <c r="N260"/>
    </row>
    <row r="261" spans="2:14">
      <c r="B261" s="1" t="str">
        <f>B34</f>
        <v xml:space="preserve">     of collection 6/30/2011)(Line 2 less Line 10)</v>
      </c>
      <c r="E261" s="15">
        <f>IF(E258&lt;=0,0,E244-E258)</f>
        <v>0</v>
      </c>
      <c r="F261" s="21"/>
      <c r="G261" s="15">
        <f>IF(G258&lt;=0,0,G244-G258)</f>
        <v>0</v>
      </c>
      <c r="H261" s="21"/>
      <c r="I261" s="15">
        <f>IF(I258&lt;=0,0,I244-I258)</f>
        <v>0</v>
      </c>
      <c r="J261" s="21"/>
      <c r="K261" s="15">
        <f>IF(K258&lt;=0,0,K244-K258)</f>
        <v>0</v>
      </c>
      <c r="L261" s="21"/>
      <c r="M261"/>
      <c r="N261"/>
    </row>
    <row r="262" spans="2:14" ht="7.5" customHeight="1">
      <c r="E262" s="16"/>
      <c r="F262" s="16"/>
      <c r="G262" s="16"/>
      <c r="H262" s="16"/>
      <c r="I262" s="16"/>
      <c r="J262" s="16"/>
      <c r="K262" s="16"/>
      <c r="L262" s="40"/>
      <c r="M262"/>
      <c r="N262"/>
    </row>
    <row r="263" spans="2:14">
      <c r="B263" s="1" t="s">
        <v>236</v>
      </c>
      <c r="E263" s="16"/>
      <c r="F263" s="16"/>
      <c r="G263" s="16"/>
      <c r="H263" s="16"/>
      <c r="I263" s="16"/>
      <c r="J263" s="16"/>
      <c r="K263" s="16"/>
      <c r="L263" s="40"/>
      <c r="M263"/>
      <c r="N263"/>
    </row>
    <row r="264" spans="2:14">
      <c r="B264" s="1" t="s">
        <v>289</v>
      </c>
      <c r="E264" s="16"/>
      <c r="F264" s="16"/>
      <c r="G264" s="16"/>
      <c r="H264" s="16"/>
      <c r="I264" s="16"/>
      <c r="J264" s="16"/>
      <c r="K264" s="16"/>
      <c r="L264" s="40"/>
      <c r="M264"/>
      <c r="N264"/>
    </row>
    <row r="265" spans="2:14">
      <c r="B265" s="1" t="str">
        <f>B38</f>
        <v xml:space="preserve">     (7-1-2011 to 12-31-2012) (Line 3 x 75%)</v>
      </c>
      <c r="E265" s="15">
        <f>SUM(E246*0.75)</f>
        <v>0</v>
      </c>
      <c r="F265" s="21"/>
      <c r="G265" s="15">
        <f>SUM(G246*0.75)</f>
        <v>0</v>
      </c>
      <c r="H265" s="21"/>
      <c r="I265" s="15">
        <f>SUM(I246*0.75)</f>
        <v>0</v>
      </c>
      <c r="J265" s="21"/>
      <c r="K265" s="15">
        <f>SUM(K246*0.75)</f>
        <v>0</v>
      </c>
      <c r="L265" s="40"/>
      <c r="M265"/>
      <c r="N265"/>
    </row>
    <row r="266" spans="2:14" ht="6" customHeight="1">
      <c r="E266" s="40"/>
      <c r="F266" s="40"/>
      <c r="G266" s="40"/>
      <c r="H266" s="40"/>
      <c r="I266" s="40"/>
      <c r="J266" s="40"/>
      <c r="K266" s="40"/>
      <c r="L266" s="40"/>
      <c r="M266"/>
      <c r="N266"/>
    </row>
    <row r="267" spans="2:14" ht="15">
      <c r="B267" s="41" t="str">
        <f>B40</f>
        <v>Tax Collection Ratio (Jan, Mar, June)</v>
      </c>
      <c r="C267" s="17"/>
      <c r="D267" s="17"/>
      <c r="E267" s="42">
        <f>IF(E244&lt;&gt;0,(E248+E250+E252+E254+E256)/E244*100,0)</f>
        <v>0</v>
      </c>
      <c r="F267" s="26" t="s">
        <v>290</v>
      </c>
      <c r="G267" s="42">
        <f>IF(G244&lt;&gt;0,(G248+G250+G252+G254+G256)/G244*100,0)</f>
        <v>0</v>
      </c>
      <c r="H267" s="26" t="s">
        <v>290</v>
      </c>
      <c r="I267" s="42">
        <f>IF(I244&lt;&gt;0,(I248+I250+I252+I254+I256)/I244*100,0)</f>
        <v>0</v>
      </c>
      <c r="J267" s="26" t="s">
        <v>290</v>
      </c>
      <c r="K267" s="42">
        <f>IF(K244&lt;&gt;0,(K248+K250+K252+K254+K256)/K244*100,0)</f>
        <v>0</v>
      </c>
      <c r="L267" s="26" t="s">
        <v>290</v>
      </c>
      <c r="M267"/>
      <c r="N267"/>
    </row>
    <row r="268" spans="2:14" ht="12" customHeight="1">
      <c r="B268" s="37"/>
      <c r="C268" s="37"/>
      <c r="D268" s="37"/>
      <c r="E268" s="37"/>
      <c r="F268" s="37"/>
      <c r="G268" s="37"/>
      <c r="H268" s="37"/>
      <c r="I268" s="37"/>
      <c r="J268" s="37"/>
      <c r="K268" s="37"/>
      <c r="L268" s="34"/>
      <c r="M268" s="34"/>
    </row>
    <row r="269" spans="2:14" ht="0.75" hidden="1" customHeight="1">
      <c r="B269" s="37"/>
      <c r="C269" s="37"/>
      <c r="D269" s="37"/>
      <c r="E269" s="37"/>
      <c r="F269" s="37"/>
      <c r="G269" s="37"/>
      <c r="H269" s="37"/>
      <c r="I269" s="37"/>
      <c r="J269" s="37"/>
      <c r="K269" s="37"/>
    </row>
    <row r="270" spans="2:14" ht="5.0999999999999996" hidden="1" customHeight="1">
      <c r="B270" s="37"/>
      <c r="C270" s="37"/>
      <c r="D270" s="37"/>
      <c r="E270" s="37"/>
      <c r="F270" s="37"/>
      <c r="G270" s="37"/>
      <c r="H270" s="37"/>
      <c r="I270" s="37"/>
      <c r="J270" s="37"/>
      <c r="K270" s="37"/>
    </row>
    <row r="271" spans="2:14" ht="12.75" customHeight="1">
      <c r="B271" s="1" t="str">
        <f>B98</f>
        <v>*Amounts are available from the County Treasurer.       **These Jan.-June, 2011 amounts are available from the County Treasurer.  (Does not</v>
      </c>
      <c r="C271" s="37"/>
      <c r="D271" s="37"/>
      <c r="E271" s="37"/>
      <c r="F271" s="37"/>
      <c r="G271" s="37"/>
      <c r="H271" s="37"/>
      <c r="I271" s="37"/>
      <c r="J271" s="37"/>
      <c r="K271" s="37"/>
    </row>
    <row r="272" spans="2:14">
      <c r="B272" s="1" t="str">
        <f>B99</f>
        <v xml:space="preserve"> include MVPT.  Should correspond to school records.)</v>
      </c>
    </row>
    <row r="273" spans="2:13" ht="15">
      <c r="B273" s="1" t="s">
        <v>148</v>
      </c>
      <c r="M273" s="2" t="s">
        <v>337</v>
      </c>
    </row>
    <row r="274" spans="2:13">
      <c r="B274" s="3">
        <f>B2</f>
        <v>40664</v>
      </c>
      <c r="C274" s="4"/>
      <c r="D274" s="4"/>
      <c r="G274" s="6" t="s">
        <v>150</v>
      </c>
      <c r="H274" s="6"/>
      <c r="I274" s="8" t="str">
        <f>I184</f>
        <v>395 - LaCrosse</v>
      </c>
      <c r="J274" s="8"/>
      <c r="K274" s="8"/>
      <c r="L274" s="6" t="s">
        <v>151</v>
      </c>
      <c r="M274" s="9">
        <f>M184</f>
        <v>395</v>
      </c>
    </row>
    <row r="275" spans="2:13">
      <c r="K275" s="6" t="s">
        <v>153</v>
      </c>
      <c r="M275" s="8" t="str">
        <f>M185</f>
        <v>Rush</v>
      </c>
    </row>
    <row r="276" spans="2:13" ht="7.5" customHeight="1">
      <c r="E276" s="12"/>
      <c r="F276" s="12"/>
      <c r="G276" s="12"/>
      <c r="H276" s="12"/>
      <c r="I276" s="12"/>
      <c r="J276" s="12"/>
      <c r="K276" s="13"/>
      <c r="L276" s="13"/>
      <c r="M276" s="12"/>
    </row>
    <row r="277" spans="2:13">
      <c r="B277" s="12" t="str">
        <f>B6</f>
        <v>2011-2012</v>
      </c>
      <c r="C277" s="12"/>
      <c r="D277" s="12"/>
      <c r="E277" s="12"/>
      <c r="F277" s="12"/>
      <c r="G277" s="12"/>
      <c r="H277" s="12"/>
      <c r="I277" s="12"/>
      <c r="J277" s="12"/>
      <c r="K277" s="12"/>
      <c r="L277" s="12"/>
      <c r="M277" s="12"/>
    </row>
    <row r="278" spans="2:13">
      <c r="B278" s="12" t="s">
        <v>155</v>
      </c>
      <c r="C278" s="12"/>
      <c r="D278" s="12"/>
      <c r="E278" s="12"/>
      <c r="F278" s="12"/>
      <c r="G278" s="12"/>
      <c r="H278" s="12"/>
      <c r="I278" s="12"/>
      <c r="J278" s="12"/>
      <c r="K278" s="12"/>
      <c r="L278" s="12"/>
      <c r="M278" s="12"/>
    </row>
    <row r="279" spans="2:13">
      <c r="B279" s="12" t="s">
        <v>156</v>
      </c>
      <c r="C279" s="12"/>
      <c r="D279" s="12"/>
      <c r="E279" s="12"/>
      <c r="F279" s="12"/>
      <c r="G279" s="12"/>
      <c r="H279" s="12"/>
      <c r="I279" s="12"/>
      <c r="J279" s="12"/>
      <c r="K279" s="12"/>
      <c r="L279" s="12"/>
      <c r="M279" s="12"/>
    </row>
    <row r="280" spans="2:13" ht="15">
      <c r="B280" s="14" t="s">
        <v>157</v>
      </c>
      <c r="C280" s="14"/>
      <c r="D280" s="14"/>
      <c r="E280" s="12"/>
      <c r="F280" s="12"/>
      <c r="G280" s="12"/>
      <c r="H280" s="12"/>
      <c r="I280" s="12"/>
      <c r="J280" s="12"/>
      <c r="K280" s="12"/>
      <c r="L280" s="12"/>
      <c r="M280" s="12"/>
    </row>
    <row r="281" spans="2:13" ht="9" customHeight="1">
      <c r="E281" s="10"/>
      <c r="F281" s="10"/>
      <c r="G281" s="10"/>
      <c r="H281" s="10"/>
      <c r="I281" s="10"/>
      <c r="J281" s="10"/>
      <c r="K281" s="10"/>
      <c r="L281" s="10"/>
      <c r="M281" s="10"/>
    </row>
    <row r="282" spans="2:13" ht="15">
      <c r="E282" s="10" t="s">
        <v>338</v>
      </c>
      <c r="F282" s="10"/>
      <c r="G282" s="10" t="s">
        <v>180</v>
      </c>
      <c r="H282" s="10"/>
      <c r="I282" s="10" t="s">
        <v>339</v>
      </c>
      <c r="J282" s="10"/>
      <c r="K282" s="10" t="s">
        <v>340</v>
      </c>
      <c r="L282" s="10"/>
      <c r="M282" s="10" t="s">
        <v>341</v>
      </c>
    </row>
    <row r="283" spans="2:13" ht="15">
      <c r="E283" s="10" t="s">
        <v>342</v>
      </c>
      <c r="F283" s="10"/>
      <c r="G283" s="10" t="s">
        <v>343</v>
      </c>
      <c r="H283" s="10"/>
      <c r="I283" s="10" t="s">
        <v>344</v>
      </c>
      <c r="J283" s="10"/>
      <c r="K283" s="10" t="s">
        <v>345</v>
      </c>
      <c r="L283" s="10"/>
      <c r="M283" s="10" t="s">
        <v>346</v>
      </c>
    </row>
    <row r="284" spans="2:13" ht="7.5" customHeight="1"/>
    <row r="285" spans="2:13">
      <c r="B285" s="1" t="str">
        <f>B15</f>
        <v>1.  County Treasurer Balance 6/30/2011 *</v>
      </c>
      <c r="E285" s="52"/>
      <c r="F285" s="46"/>
      <c r="G285" s="52"/>
      <c r="H285" s="46"/>
      <c r="I285" s="52"/>
      <c r="J285" s="46"/>
      <c r="K285" s="52"/>
      <c r="M285" s="52"/>
    </row>
    <row r="286" spans="2:13" ht="6.75" customHeight="1">
      <c r="B286" s="17"/>
      <c r="C286" s="17"/>
      <c r="D286" s="17"/>
      <c r="E286" s="53"/>
      <c r="F286" s="53"/>
      <c r="G286" s="53"/>
      <c r="H286" s="53"/>
      <c r="I286" s="53"/>
      <c r="J286" s="53"/>
      <c r="K286" s="53"/>
      <c r="M286" s="53"/>
    </row>
    <row r="287" spans="2:13">
      <c r="B287" s="1" t="str">
        <f>B17</f>
        <v>2.  2010 Actual Taxes Levied*</v>
      </c>
      <c r="E287" s="52"/>
      <c r="F287" s="46"/>
      <c r="G287" s="52"/>
      <c r="H287" s="46"/>
      <c r="I287" s="52"/>
      <c r="J287" s="46"/>
      <c r="K287" s="52"/>
      <c r="M287" s="52"/>
    </row>
    <row r="288" spans="2:13" ht="7.5" customHeight="1">
      <c r="E288" s="46"/>
      <c r="F288" s="46"/>
      <c r="G288" s="46"/>
      <c r="H288" s="46"/>
      <c r="I288" s="46"/>
      <c r="J288" s="46"/>
      <c r="K288" s="46"/>
      <c r="M288" s="46"/>
    </row>
    <row r="289" spans="2:13">
      <c r="B289" s="1" t="s">
        <v>330</v>
      </c>
      <c r="C289" s="33">
        <f>C200</f>
        <v>1</v>
      </c>
      <c r="D289" s="40"/>
      <c r="E289" s="15">
        <f>E287*$C$289/100</f>
        <v>0</v>
      </c>
      <c r="F289" s="15"/>
      <c r="G289" s="15">
        <f>G287*$C$289/100</f>
        <v>0</v>
      </c>
      <c r="H289" s="15"/>
      <c r="I289" s="15">
        <f>I287*$C$289/100</f>
        <v>0</v>
      </c>
      <c r="J289" s="15"/>
      <c r="K289" s="15">
        <f>K287*$C$289/100</f>
        <v>0</v>
      </c>
      <c r="L289" s="15"/>
      <c r="M289" s="15">
        <f>M287*$C$289/100</f>
        <v>0</v>
      </c>
    </row>
    <row r="290" spans="2:13" ht="7.5" customHeight="1">
      <c r="E290" s="46"/>
      <c r="F290" s="46"/>
      <c r="G290" s="46"/>
      <c r="H290" s="46"/>
      <c r="I290" s="46"/>
      <c r="J290" s="46"/>
      <c r="K290" s="46"/>
      <c r="M290" s="46"/>
    </row>
    <row r="291" spans="2:13">
      <c r="B291" s="1" t="str">
        <f>B21</f>
        <v>4.  Less:  Jan. 20, 2011 Taxes received**</v>
      </c>
      <c r="E291" s="52"/>
      <c r="F291" s="46"/>
      <c r="G291" s="52"/>
      <c r="H291" s="46"/>
      <c r="I291" s="52"/>
      <c r="J291" s="46"/>
      <c r="K291" s="52"/>
      <c r="M291" s="52"/>
    </row>
    <row r="292" spans="2:13" ht="7.5" customHeight="1">
      <c r="E292" s="46"/>
      <c r="F292" s="46"/>
      <c r="G292" s="46"/>
      <c r="H292" s="46"/>
      <c r="I292" s="46"/>
      <c r="J292" s="46"/>
      <c r="K292" s="46"/>
      <c r="M292" s="46"/>
    </row>
    <row r="293" spans="2:13">
      <c r="B293" s="1" t="str">
        <f>B23</f>
        <v>5.  Less:  Mar. 20, 2011  Taxes received**</v>
      </c>
      <c r="E293" s="52"/>
      <c r="F293" s="46"/>
      <c r="G293" s="52"/>
      <c r="H293" s="46"/>
      <c r="I293" s="52"/>
      <c r="J293" s="46"/>
      <c r="K293" s="52"/>
      <c r="M293" s="52"/>
    </row>
    <row r="294" spans="2:13" ht="7.5" customHeight="1">
      <c r="E294" s="56"/>
      <c r="F294" s="46"/>
      <c r="G294" s="56"/>
      <c r="H294" s="46"/>
      <c r="I294" s="56"/>
      <c r="J294" s="46"/>
      <c r="K294" s="56"/>
      <c r="M294" s="56"/>
    </row>
    <row r="295" spans="2:13">
      <c r="B295" s="1" t="str">
        <f>B25</f>
        <v>6.  Less:  June 5,  2011 Taxes received**</v>
      </c>
      <c r="E295" s="52"/>
      <c r="F295" s="46"/>
      <c r="G295" s="52"/>
      <c r="H295" s="46"/>
      <c r="I295" s="52"/>
      <c r="J295" s="46"/>
      <c r="K295" s="52"/>
      <c r="M295" s="52"/>
    </row>
    <row r="296" spans="2:13" ht="7.5" customHeight="1">
      <c r="E296" s="56"/>
      <c r="F296" s="46"/>
      <c r="G296" s="56"/>
      <c r="H296" s="46"/>
      <c r="I296" s="56"/>
      <c r="J296" s="46"/>
      <c r="K296" s="56"/>
      <c r="M296" s="56"/>
    </row>
    <row r="297" spans="2:13">
      <c r="B297" s="1" t="s">
        <v>286</v>
      </c>
      <c r="E297" s="52"/>
      <c r="F297" s="46"/>
      <c r="G297" s="52"/>
      <c r="H297" s="46"/>
      <c r="I297" s="52"/>
      <c r="J297" s="46"/>
      <c r="K297" s="52"/>
      <c r="M297" s="52"/>
    </row>
    <row r="298" spans="2:13" ht="7.5" customHeight="1">
      <c r="E298" s="46"/>
      <c r="F298" s="46"/>
      <c r="G298" s="46"/>
      <c r="H298" s="46"/>
      <c r="I298" s="46"/>
      <c r="J298" s="46"/>
      <c r="K298" s="46"/>
      <c r="M298" s="46"/>
    </row>
    <row r="299" spans="2:13">
      <c r="B299" s="1" t="s">
        <v>165</v>
      </c>
      <c r="E299" s="52"/>
      <c r="F299" s="46"/>
      <c r="G299" s="52"/>
      <c r="H299" s="46"/>
      <c r="I299" s="52"/>
      <c r="J299" s="46"/>
      <c r="K299" s="52"/>
      <c r="M299" s="52"/>
    </row>
    <row r="300" spans="2:13">
      <c r="B300" s="1" t="s">
        <v>166</v>
      </c>
      <c r="E300" s="54"/>
      <c r="F300" s="46"/>
      <c r="G300" s="54"/>
      <c r="H300" s="46"/>
      <c r="I300" s="54"/>
      <c r="J300" s="46"/>
      <c r="K300" s="54"/>
      <c r="M300" s="54"/>
    </row>
    <row r="301" spans="2:13">
      <c r="B301" s="1" t="s">
        <v>331</v>
      </c>
      <c r="E301" s="15">
        <f>SUM(E289:E300)</f>
        <v>0</v>
      </c>
      <c r="F301" s="21"/>
      <c r="G301" s="15">
        <f>SUM(G289:G300)</f>
        <v>0</v>
      </c>
      <c r="H301" s="21"/>
      <c r="I301" s="15">
        <f>SUM(I289:I300)</f>
        <v>0</v>
      </c>
      <c r="J301" s="21"/>
      <c r="K301" s="15">
        <f>SUM(K289:K300)</f>
        <v>0</v>
      </c>
      <c r="L301" s="40"/>
      <c r="M301" s="15">
        <f>SUM(M289:M300)</f>
        <v>0</v>
      </c>
    </row>
    <row r="302" spans="2:13" ht="7.5" customHeight="1">
      <c r="E302" s="16"/>
      <c r="F302" s="16"/>
      <c r="G302" s="16"/>
      <c r="H302" s="16"/>
      <c r="I302" s="16"/>
      <c r="J302" s="16"/>
      <c r="K302" s="16"/>
      <c r="L302" s="40"/>
      <c r="M302" s="16"/>
    </row>
    <row r="303" spans="2:13">
      <c r="B303" s="1" t="str">
        <f>B33</f>
        <v>11. 2010 taxes receivable (taxes in process</v>
      </c>
      <c r="E303" s="16"/>
      <c r="F303" s="16"/>
      <c r="G303" s="16"/>
      <c r="H303" s="16"/>
      <c r="I303" s="16"/>
      <c r="J303" s="16"/>
      <c r="K303" s="16"/>
      <c r="L303" s="40"/>
      <c r="M303" s="16"/>
    </row>
    <row r="304" spans="2:13">
      <c r="B304" s="1" t="str">
        <f>B34</f>
        <v xml:space="preserve">     of collection 6/30/2011)(Line 2 less Line 10)</v>
      </c>
      <c r="E304" s="15">
        <f>IF(E301&lt;=0,0,E287-E301)</f>
        <v>0</v>
      </c>
      <c r="F304" s="21"/>
      <c r="G304" s="15">
        <f>IF(G301&lt;=0,0,G287-G301)</f>
        <v>0</v>
      </c>
      <c r="H304" s="21"/>
      <c r="I304" s="15">
        <f>IF(I301&lt;=0,0,I287-I301)</f>
        <v>0</v>
      </c>
      <c r="J304" s="21"/>
      <c r="K304" s="15">
        <f>IF(K301&lt;=0,0,K287-K301)</f>
        <v>0</v>
      </c>
      <c r="L304" s="21"/>
      <c r="M304" s="15">
        <f>IF(M301&lt;=0,0,M287-M301)</f>
        <v>0</v>
      </c>
    </row>
    <row r="305" spans="2:14" ht="7.5" customHeight="1">
      <c r="E305" s="16"/>
      <c r="F305" s="16"/>
      <c r="G305" s="16"/>
      <c r="H305" s="16"/>
      <c r="I305" s="16"/>
      <c r="J305" s="16"/>
      <c r="K305" s="16"/>
      <c r="L305" s="40"/>
      <c r="M305" s="16"/>
    </row>
    <row r="306" spans="2:14">
      <c r="B306" s="1" t="s">
        <v>236</v>
      </c>
      <c r="E306" s="16"/>
      <c r="F306" s="16"/>
      <c r="G306" s="16"/>
      <c r="H306" s="16"/>
      <c r="I306" s="16"/>
      <c r="J306" s="16"/>
      <c r="K306" s="16"/>
      <c r="L306" s="40"/>
      <c r="M306" s="16"/>
    </row>
    <row r="307" spans="2:14">
      <c r="B307" s="1" t="s">
        <v>289</v>
      </c>
      <c r="E307" s="16"/>
      <c r="F307" s="16"/>
      <c r="G307" s="16"/>
      <c r="H307" s="16"/>
      <c r="I307" s="16"/>
      <c r="J307" s="16"/>
      <c r="K307" s="16"/>
      <c r="L307" s="40"/>
      <c r="M307" s="16"/>
    </row>
    <row r="308" spans="2:14">
      <c r="B308" s="1" t="str">
        <f>B38</f>
        <v xml:space="preserve">     (7-1-2011 to 12-31-2012) (Line 3 x 75%)</v>
      </c>
      <c r="E308" s="15">
        <f>SUM(E289*0.75)</f>
        <v>0</v>
      </c>
      <c r="F308" s="21"/>
      <c r="G308" s="15">
        <f>SUM(G289*0.75)</f>
        <v>0</v>
      </c>
      <c r="H308" s="21"/>
      <c r="I308" s="15">
        <f>SUM(I289*0.75)</f>
        <v>0</v>
      </c>
      <c r="J308" s="21"/>
      <c r="K308" s="15">
        <f>SUM(K289*0.75)</f>
        <v>0</v>
      </c>
      <c r="L308" s="40"/>
      <c r="M308" s="15">
        <f>SUM(M289*0.75)</f>
        <v>0</v>
      </c>
    </row>
    <row r="309" spans="2:14" ht="6.75" customHeight="1">
      <c r="E309" s="40"/>
      <c r="F309" s="40"/>
      <c r="G309" s="40"/>
      <c r="H309" s="40"/>
      <c r="I309" s="40"/>
      <c r="J309" s="40"/>
      <c r="K309" s="40"/>
      <c r="L309" s="40"/>
      <c r="M309" s="40"/>
    </row>
    <row r="310" spans="2:14" ht="15">
      <c r="B310" s="35" t="str">
        <f>B40</f>
        <v>Tax Collection Ratio (Jan, Mar, June)</v>
      </c>
      <c r="E310" s="51">
        <f>IF(E287&lt;&gt;0,(E291+E293+E295+E297+E299)/E287*100,0)</f>
        <v>0</v>
      </c>
      <c r="F310" s="26" t="s">
        <v>290</v>
      </c>
      <c r="G310" s="51">
        <f>IF(G287&lt;&gt;0,(G291+G293+G295+G297+G299)/G287*100,0)</f>
        <v>0</v>
      </c>
      <c r="H310" s="26" t="s">
        <v>290</v>
      </c>
      <c r="I310" s="51">
        <f>IF(I287&lt;&gt;0,(I291+I293+I295+I297+I299)/I287*100,0)</f>
        <v>0</v>
      </c>
      <c r="J310" s="26" t="s">
        <v>290</v>
      </c>
      <c r="K310" s="51">
        <f>IF(K287&lt;&gt;0,(K291+K293+K295+K297+K299)/K287*100,0)</f>
        <v>0</v>
      </c>
      <c r="L310" s="26" t="s">
        <v>290</v>
      </c>
      <c r="M310" s="51">
        <f>IF(M287&lt;&gt;0,(M291+M293+M295+M297+M299)/M287*100,0)</f>
        <v>0</v>
      </c>
      <c r="N310" s="24" t="s">
        <v>290</v>
      </c>
    </row>
    <row r="312" spans="2:14">
      <c r="B312" s="1" t="str">
        <f>B98</f>
        <v>*Amounts are available from the County Treasurer.       **These Jan.-June, 2011 amounts are available from the County Treasurer.  (Does not</v>
      </c>
    </row>
    <row r="313" spans="2:14">
      <c r="B313" s="1" t="str">
        <f>B99</f>
        <v xml:space="preserve"> include MVPT.  Should correspond to school records.)</v>
      </c>
    </row>
    <row r="314" spans="2:14" ht="15">
      <c r="B314" s="1" t="s">
        <v>148</v>
      </c>
      <c r="M314" s="2" t="s">
        <v>347</v>
      </c>
    </row>
    <row r="315" spans="2:14">
      <c r="B315" s="3">
        <f>B2</f>
        <v>40664</v>
      </c>
      <c r="C315" s="4"/>
      <c r="D315" s="4"/>
      <c r="G315" s="6" t="s">
        <v>150</v>
      </c>
      <c r="H315" s="6"/>
      <c r="I315" s="8" t="str">
        <f>I184</f>
        <v>395 - LaCrosse</v>
      </c>
      <c r="J315" s="8"/>
      <c r="K315" s="8"/>
      <c r="L315" s="6" t="s">
        <v>151</v>
      </c>
      <c r="M315" s="9">
        <f>M184</f>
        <v>395</v>
      </c>
    </row>
    <row r="316" spans="2:14">
      <c r="K316" s="6" t="s">
        <v>153</v>
      </c>
      <c r="M316" s="8" t="str">
        <f>M185</f>
        <v>Rush</v>
      </c>
    </row>
    <row r="317" spans="2:14" ht="6" customHeight="1">
      <c r="E317" s="12"/>
      <c r="F317" s="12"/>
      <c r="G317" s="12"/>
      <c r="H317" s="12"/>
      <c r="I317" s="12"/>
      <c r="J317" s="12"/>
      <c r="K317" s="13"/>
      <c r="L317" s="13"/>
      <c r="M317" s="12"/>
    </row>
    <row r="318" spans="2:14">
      <c r="B318" s="12" t="str">
        <f>B6</f>
        <v>2011-2012</v>
      </c>
      <c r="C318" s="12"/>
      <c r="D318" s="12"/>
      <c r="E318" s="12"/>
      <c r="F318" s="12"/>
      <c r="G318" s="12"/>
      <c r="H318" s="12"/>
      <c r="I318" s="12"/>
      <c r="J318" s="12"/>
      <c r="K318" s="12"/>
      <c r="L318" s="12"/>
      <c r="M318" s="12"/>
    </row>
    <row r="319" spans="2:14">
      <c r="B319" s="12" t="s">
        <v>155</v>
      </c>
      <c r="C319" s="12"/>
      <c r="D319" s="12"/>
      <c r="E319" s="12"/>
      <c r="F319" s="12"/>
      <c r="G319" s="12"/>
      <c r="H319" s="12"/>
      <c r="I319" s="12"/>
      <c r="J319" s="12"/>
      <c r="K319" s="12"/>
      <c r="L319" s="12"/>
      <c r="M319" s="12"/>
    </row>
    <row r="320" spans="2:14">
      <c r="B320" s="12" t="s">
        <v>156</v>
      </c>
      <c r="C320" s="12"/>
      <c r="D320" s="12"/>
      <c r="E320" s="12"/>
      <c r="F320" s="12"/>
      <c r="G320" s="12"/>
      <c r="H320" s="12"/>
      <c r="I320" s="12"/>
      <c r="J320" s="12"/>
      <c r="K320" s="12"/>
      <c r="L320" s="12"/>
      <c r="M320" s="12"/>
    </row>
    <row r="321" spans="2:13" ht="15">
      <c r="B321" s="14" t="s">
        <v>157</v>
      </c>
      <c r="C321" s="14"/>
      <c r="D321" s="14"/>
      <c r="E321" s="12"/>
      <c r="F321" s="12"/>
      <c r="G321" s="12"/>
      <c r="H321" s="12"/>
      <c r="I321" s="12"/>
      <c r="J321" s="12"/>
      <c r="K321" s="12"/>
      <c r="L321" s="12"/>
      <c r="M321" s="12"/>
    </row>
    <row r="322" spans="2:13" ht="7.5" customHeight="1">
      <c r="E322" s="10"/>
      <c r="F322" s="10"/>
      <c r="G322" s="10"/>
      <c r="H322" s="10"/>
      <c r="I322" s="10"/>
      <c r="J322" s="10"/>
      <c r="K322" s="10"/>
      <c r="L322" s="10"/>
      <c r="M322" s="10"/>
    </row>
    <row r="323" spans="2:13" ht="15">
      <c r="E323" s="465"/>
      <c r="F323" s="10"/>
      <c r="G323" s="10" t="str">
        <f>G150</f>
        <v>Rec. Comm</v>
      </c>
      <c r="H323" s="10"/>
      <c r="I323" s="10" t="s">
        <v>348</v>
      </c>
      <c r="J323" s="10"/>
      <c r="K323" s="35" t="s">
        <v>349</v>
      </c>
      <c r="L323" s="10"/>
      <c r="M323" s="40"/>
    </row>
    <row r="324" spans="2:13" ht="15">
      <c r="E324" s="466" t="s">
        <v>188</v>
      </c>
      <c r="F324" s="10"/>
      <c r="G324" s="10" t="str">
        <f>G151</f>
        <v>Emp Benef</v>
      </c>
      <c r="H324" s="10"/>
      <c r="I324" s="10" t="s">
        <v>350</v>
      </c>
      <c r="J324" s="10"/>
      <c r="K324" s="10" t="s">
        <v>351</v>
      </c>
      <c r="L324" s="10"/>
      <c r="M324" s="466" t="s">
        <v>439</v>
      </c>
    </row>
    <row r="325" spans="2:13" ht="15">
      <c r="E325" s="466" t="s">
        <v>89</v>
      </c>
      <c r="G325" s="10" t="str">
        <f>G152</f>
        <v>&amp; Spec Liab</v>
      </c>
      <c r="I325" s="10" t="s">
        <v>352</v>
      </c>
      <c r="K325" s="10" t="s">
        <v>353</v>
      </c>
      <c r="M325" s="466" t="s">
        <v>440</v>
      </c>
    </row>
    <row r="326" spans="2:13" ht="8.25" customHeight="1">
      <c r="G326" s="35"/>
    </row>
    <row r="327" spans="2:13">
      <c r="B327" s="1" t="str">
        <f>B15</f>
        <v>1.  County Treasurer Balance 6/30/2011 *</v>
      </c>
      <c r="E327" s="488"/>
      <c r="F327" s="46"/>
      <c r="G327" s="52"/>
      <c r="H327" s="46"/>
      <c r="I327" s="52"/>
      <c r="J327" s="46"/>
      <c r="K327" s="52"/>
      <c r="M327" s="488"/>
    </row>
    <row r="328" spans="2:13" ht="6" customHeight="1">
      <c r="B328" s="17"/>
      <c r="C328" s="17"/>
      <c r="D328" s="17"/>
      <c r="E328" s="53"/>
      <c r="F328" s="53"/>
      <c r="G328" s="53"/>
      <c r="H328" s="53"/>
      <c r="I328" s="53"/>
      <c r="J328" s="53"/>
      <c r="K328" s="53"/>
      <c r="M328" s="53"/>
    </row>
    <row r="329" spans="2:13">
      <c r="B329" s="1" t="str">
        <f>B17</f>
        <v>2.  2010 Actual Taxes Levied*</v>
      </c>
      <c r="E329" s="488"/>
      <c r="F329" s="46"/>
      <c r="G329" s="52"/>
      <c r="H329" s="46"/>
      <c r="I329" s="52"/>
      <c r="J329" s="46"/>
      <c r="K329" s="52"/>
      <c r="M329" s="488"/>
    </row>
    <row r="330" spans="2:13" ht="8.25" customHeight="1">
      <c r="E330" s="46"/>
      <c r="F330" s="46"/>
      <c r="G330" s="46"/>
      <c r="H330" s="46"/>
      <c r="I330" s="46"/>
      <c r="J330" s="46"/>
      <c r="K330" s="46"/>
      <c r="M330" s="46"/>
    </row>
    <row r="331" spans="2:13">
      <c r="B331" s="1" t="s">
        <v>330</v>
      </c>
      <c r="C331" s="33">
        <f>C200</f>
        <v>1</v>
      </c>
      <c r="D331" s="40"/>
      <c r="E331" s="469">
        <f>E329*$C$331/100</f>
        <v>0</v>
      </c>
      <c r="F331" s="15"/>
      <c r="G331" s="15">
        <f>G329*$C$331/100</f>
        <v>0</v>
      </c>
      <c r="H331" s="15"/>
      <c r="I331" s="15">
        <f>I329*$C$331/100</f>
        <v>0</v>
      </c>
      <c r="J331" s="15"/>
      <c r="K331" s="15">
        <f>K329*$C$331/100</f>
        <v>0</v>
      </c>
      <c r="L331" s="15"/>
      <c r="M331" s="15">
        <f>M329*$C$331/100</f>
        <v>0</v>
      </c>
    </row>
    <row r="332" spans="2:13" ht="7.5" customHeight="1">
      <c r="E332" s="46"/>
      <c r="F332" s="46"/>
      <c r="G332" s="46"/>
      <c r="H332" s="46"/>
      <c r="I332" s="46"/>
      <c r="J332" s="46"/>
      <c r="K332" s="46"/>
      <c r="M332" s="46"/>
    </row>
    <row r="333" spans="2:13">
      <c r="B333" s="1" t="str">
        <f>B21</f>
        <v>4.  Less:  Jan. 20, 2011 Taxes received**</v>
      </c>
      <c r="E333" s="488"/>
      <c r="F333" s="46"/>
      <c r="G333" s="52"/>
      <c r="H333" s="46"/>
      <c r="I333" s="52"/>
      <c r="J333" s="46"/>
      <c r="K333" s="52"/>
      <c r="M333" s="488"/>
    </row>
    <row r="334" spans="2:13" ht="7.5" customHeight="1">
      <c r="E334" s="46"/>
      <c r="F334" s="46"/>
      <c r="G334" s="46"/>
      <c r="H334" s="46"/>
      <c r="I334" s="46"/>
      <c r="J334" s="46"/>
      <c r="K334" s="46"/>
      <c r="M334" s="46"/>
    </row>
    <row r="335" spans="2:13">
      <c r="B335" s="1" t="str">
        <f>B23</f>
        <v>5.  Less:  Mar. 20, 2011  Taxes received**</v>
      </c>
      <c r="E335" s="488"/>
      <c r="F335" s="46"/>
      <c r="G335" s="52"/>
      <c r="H335" s="46"/>
      <c r="I335" s="52"/>
      <c r="J335" s="46"/>
      <c r="K335" s="52"/>
      <c r="M335" s="488"/>
    </row>
    <row r="336" spans="2:13" ht="8.25" customHeight="1">
      <c r="E336" s="56"/>
      <c r="F336" s="46"/>
      <c r="G336" s="56"/>
      <c r="H336" s="46"/>
      <c r="I336" s="56"/>
      <c r="J336" s="46"/>
      <c r="K336" s="56"/>
      <c r="M336" s="56"/>
    </row>
    <row r="337" spans="2:14">
      <c r="B337" s="1" t="str">
        <f>B25</f>
        <v>6.  Less:  June 5,  2011 Taxes received**</v>
      </c>
      <c r="E337" s="488"/>
      <c r="F337" s="46"/>
      <c r="G337" s="52"/>
      <c r="H337" s="46"/>
      <c r="I337" s="52"/>
      <c r="J337" s="46"/>
      <c r="K337" s="52"/>
      <c r="M337" s="488"/>
    </row>
    <row r="338" spans="2:14" ht="8.25" customHeight="1">
      <c r="E338" s="56"/>
      <c r="F338" s="46"/>
      <c r="G338" s="56"/>
      <c r="H338" s="46"/>
      <c r="I338" s="56"/>
      <c r="J338" s="46"/>
      <c r="K338" s="56"/>
      <c r="M338" s="56"/>
    </row>
    <row r="339" spans="2:14">
      <c r="B339" s="1" t="s">
        <v>286</v>
      </c>
      <c r="E339" s="488"/>
      <c r="F339" s="46"/>
      <c r="G339" s="52"/>
      <c r="H339" s="46"/>
      <c r="I339" s="52"/>
      <c r="J339" s="46"/>
      <c r="K339" s="52"/>
      <c r="M339" s="488"/>
    </row>
    <row r="340" spans="2:14" ht="6.75" customHeight="1">
      <c r="E340" s="46"/>
      <c r="F340" s="46"/>
      <c r="G340" s="46"/>
      <c r="H340" s="46"/>
      <c r="I340" s="46"/>
      <c r="J340" s="46"/>
      <c r="K340" s="46"/>
      <c r="M340" s="46"/>
    </row>
    <row r="341" spans="2:14">
      <c r="B341" s="1" t="s">
        <v>165</v>
      </c>
      <c r="E341" s="488"/>
      <c r="F341" s="46"/>
      <c r="G341" s="52"/>
      <c r="H341" s="16"/>
      <c r="I341" s="52"/>
      <c r="J341" s="46"/>
      <c r="K341" s="52"/>
      <c r="M341" s="488"/>
    </row>
    <row r="342" spans="2:14">
      <c r="B342" s="1" t="s">
        <v>166</v>
      </c>
      <c r="E342" s="489"/>
      <c r="F342" s="46"/>
      <c r="G342" s="54"/>
      <c r="H342" s="46"/>
      <c r="I342" s="54"/>
      <c r="J342" s="46"/>
      <c r="K342" s="54"/>
      <c r="M342" s="489"/>
    </row>
    <row r="343" spans="2:14">
      <c r="B343" s="1" t="s">
        <v>331</v>
      </c>
      <c r="E343" s="469">
        <f>SUM(E331:E342)</f>
        <v>0</v>
      </c>
      <c r="F343" s="21"/>
      <c r="G343" s="15">
        <f>SUM(G331:G342)</f>
        <v>0</v>
      </c>
      <c r="H343" s="21"/>
      <c r="I343" s="15">
        <f>SUM(I331:I342)</f>
        <v>0</v>
      </c>
      <c r="J343" s="21"/>
      <c r="K343" s="15">
        <f>SUM(K331:K342)</f>
        <v>0</v>
      </c>
      <c r="L343" s="40"/>
      <c r="M343" s="15">
        <f>SUM(M331:M342)</f>
        <v>0</v>
      </c>
    </row>
    <row r="344" spans="2:14" ht="6.75" customHeight="1">
      <c r="E344" s="16"/>
      <c r="F344" s="16"/>
      <c r="G344" s="16"/>
      <c r="H344" s="16"/>
      <c r="I344" s="16"/>
      <c r="J344" s="16"/>
      <c r="K344" s="16"/>
      <c r="L344" s="40"/>
      <c r="M344" s="16"/>
    </row>
    <row r="345" spans="2:14">
      <c r="B345" s="1" t="str">
        <f>B33</f>
        <v>11. 2010 taxes receivable (taxes in process</v>
      </c>
      <c r="E345" s="16"/>
      <c r="F345" s="16"/>
      <c r="G345" s="16"/>
      <c r="H345" s="16"/>
      <c r="I345" s="16"/>
      <c r="J345" s="16"/>
      <c r="K345" s="16"/>
      <c r="L345" s="40"/>
      <c r="M345" s="16"/>
    </row>
    <row r="346" spans="2:14">
      <c r="B346" s="1" t="str">
        <f>B34</f>
        <v xml:space="preserve">     of collection 6/30/2011)(Line 2 less Line 10)</v>
      </c>
      <c r="E346" s="469">
        <f>IF(E343&lt;=0,0,E329-E343)</f>
        <v>0</v>
      </c>
      <c r="F346" s="21"/>
      <c r="G346" s="15">
        <f>IF(G343&lt;=0,0,G329-G343)</f>
        <v>0</v>
      </c>
      <c r="H346" s="21"/>
      <c r="I346" s="15">
        <f>IF(I343&lt;=0,0,I329-I343)</f>
        <v>0</v>
      </c>
      <c r="J346" s="21"/>
      <c r="K346" s="15">
        <f>IF(K343&lt;=0,0,K329-K343)</f>
        <v>0</v>
      </c>
      <c r="L346" s="21"/>
      <c r="M346" s="15">
        <f>IF(M343&lt;=0,0,M329-M343)</f>
        <v>0</v>
      </c>
    </row>
    <row r="347" spans="2:14" ht="7.5" customHeight="1">
      <c r="E347" s="16"/>
      <c r="F347" s="16"/>
      <c r="G347" s="16"/>
      <c r="H347" s="16"/>
      <c r="I347" s="16"/>
      <c r="J347" s="16"/>
      <c r="K347" s="16"/>
      <c r="L347" s="40"/>
      <c r="M347" s="16"/>
    </row>
    <row r="348" spans="2:14">
      <c r="B348" s="1" t="s">
        <v>236</v>
      </c>
      <c r="E348" s="16"/>
      <c r="F348" s="16"/>
      <c r="G348" s="16"/>
      <c r="H348" s="16"/>
      <c r="I348" s="16"/>
      <c r="J348" s="16"/>
      <c r="K348" s="16"/>
      <c r="L348" s="40"/>
      <c r="M348" s="16"/>
    </row>
    <row r="349" spans="2:14">
      <c r="B349" s="1" t="s">
        <v>289</v>
      </c>
      <c r="E349" s="16"/>
      <c r="F349" s="16"/>
      <c r="G349" s="16"/>
      <c r="H349" s="16"/>
      <c r="I349" s="16"/>
      <c r="J349" s="16"/>
      <c r="K349" s="16"/>
      <c r="L349" s="40"/>
      <c r="M349" s="16"/>
    </row>
    <row r="350" spans="2:14">
      <c r="B350" s="1" t="str">
        <f>B38</f>
        <v xml:space="preserve">     (7-1-2011 to 12-31-2012) (Line 3 x 75%)</v>
      </c>
      <c r="E350" s="469">
        <f>SUM(E331*0.75)</f>
        <v>0</v>
      </c>
      <c r="F350" s="21"/>
      <c r="G350" s="15">
        <f>SUM(G331*0.75)</f>
        <v>0</v>
      </c>
      <c r="H350" s="21"/>
      <c r="I350" s="15">
        <f>SUM(I331*0.75)</f>
        <v>0</v>
      </c>
      <c r="J350" s="21"/>
      <c r="K350" s="15">
        <f>SUM(K331*0.75)</f>
        <v>0</v>
      </c>
      <c r="L350" s="40"/>
      <c r="M350" s="15">
        <f>SUM(M331*0.75)</f>
        <v>0</v>
      </c>
    </row>
    <row r="351" spans="2:14" ht="6.75" customHeight="1">
      <c r="E351" s="40"/>
      <c r="F351" s="40"/>
      <c r="G351" s="40"/>
      <c r="H351" s="40"/>
      <c r="I351" s="40"/>
      <c r="J351" s="40"/>
      <c r="K351" s="40"/>
      <c r="L351" s="40"/>
      <c r="M351" s="40"/>
    </row>
    <row r="352" spans="2:14" ht="15">
      <c r="B352" s="35" t="str">
        <f>B40</f>
        <v>Tax Collection Ratio (Jan, Mar, June)</v>
      </c>
      <c r="E352" s="51">
        <f>IF(E329&lt;&gt;0,(E333+E335+E337+E339+E341)/E329*100,0)</f>
        <v>0</v>
      </c>
      <c r="F352" s="26" t="s">
        <v>290</v>
      </c>
      <c r="G352" s="51">
        <f>IF(G329&lt;&gt;0,(G333+G335+G337+G339+G341)/G329*100,0)</f>
        <v>0</v>
      </c>
      <c r="H352" s="26" t="s">
        <v>290</v>
      </c>
      <c r="I352" s="51">
        <f>IF(I329&lt;&gt;0,(I333+I335+I337+I339+I341)/I329*100,0)</f>
        <v>0</v>
      </c>
      <c r="J352" s="26" t="s">
        <v>290</v>
      </c>
      <c r="K352" s="51">
        <f>IF(K329&lt;&gt;0,(K333+K335+K337+K339+K341)/K329*100,0)</f>
        <v>0</v>
      </c>
      <c r="L352" s="26" t="s">
        <v>290</v>
      </c>
      <c r="M352" s="51">
        <f>IF(M329&lt;&gt;0,(M333+M335+M337+M339+M341)/M329*100,0)</f>
        <v>0</v>
      </c>
      <c r="N352" s="24" t="s">
        <v>290</v>
      </c>
    </row>
    <row r="353" spans="2:13" ht="9" customHeight="1"/>
    <row r="354" spans="2:13">
      <c r="B354" s="1" t="str">
        <f>B98</f>
        <v>*Amounts are available from the County Treasurer.       **These Jan.-June, 2011 amounts are available from the County Treasurer.  (Does not</v>
      </c>
    </row>
    <row r="355" spans="2:13">
      <c r="B355" s="1" t="str">
        <f>B99</f>
        <v xml:space="preserve"> include MVPT.  Should correspond to school records.)</v>
      </c>
    </row>
    <row r="356" spans="2:13" ht="15">
      <c r="B356" s="1" t="s">
        <v>148</v>
      </c>
      <c r="M356" s="2" t="s">
        <v>149</v>
      </c>
    </row>
    <row r="357" spans="2:13">
      <c r="B357" s="3">
        <f>B2</f>
        <v>40664</v>
      </c>
      <c r="C357" s="4"/>
      <c r="D357" s="4"/>
      <c r="F357" s="6"/>
      <c r="G357" s="6" t="s">
        <v>150</v>
      </c>
      <c r="H357" s="6"/>
      <c r="I357" s="7" t="str">
        <f>I2</f>
        <v>395 - LaCrosse</v>
      </c>
      <c r="J357" s="8"/>
      <c r="K357" s="8"/>
      <c r="L357" s="6" t="s">
        <v>151</v>
      </c>
      <c r="M357" s="9">
        <f>M2</f>
        <v>395</v>
      </c>
    </row>
    <row r="358" spans="2:13">
      <c r="K358" s="6" t="s">
        <v>153</v>
      </c>
      <c r="M358" s="57" t="s">
        <v>687</v>
      </c>
    </row>
    <row r="359" spans="2:13" ht="7.5" customHeight="1">
      <c r="E359" s="12"/>
      <c r="F359" s="12"/>
      <c r="G359" s="12"/>
      <c r="H359" s="12"/>
      <c r="I359" s="12"/>
      <c r="J359" s="12"/>
      <c r="K359" s="13"/>
      <c r="L359" s="13"/>
      <c r="M359" s="12"/>
    </row>
    <row r="360" spans="2:13">
      <c r="E360" s="12"/>
      <c r="F360" s="12"/>
      <c r="G360" s="12"/>
      <c r="H360" s="12"/>
      <c r="I360" s="12"/>
      <c r="J360" s="12"/>
      <c r="K360" s="13"/>
      <c r="L360" s="13"/>
      <c r="M360" s="12"/>
    </row>
    <row r="361" spans="2:13">
      <c r="B361" s="12" t="str">
        <f>B6</f>
        <v>2011-2012</v>
      </c>
      <c r="C361" s="12"/>
      <c r="D361" s="12"/>
      <c r="E361" s="12"/>
      <c r="F361" s="12"/>
      <c r="G361" s="12"/>
      <c r="H361" s="12"/>
      <c r="I361" s="12"/>
      <c r="J361" s="12"/>
      <c r="K361" s="12"/>
      <c r="L361" s="12"/>
      <c r="M361" s="12"/>
    </row>
    <row r="362" spans="2:13">
      <c r="B362" s="12" t="s">
        <v>155</v>
      </c>
      <c r="C362" s="12"/>
      <c r="D362" s="12"/>
      <c r="E362" s="12"/>
      <c r="F362" s="12"/>
      <c r="G362" s="12"/>
      <c r="H362" s="12"/>
      <c r="I362" s="12"/>
      <c r="J362" s="12"/>
      <c r="K362" s="12"/>
      <c r="L362" s="12"/>
      <c r="M362" s="12"/>
    </row>
    <row r="363" spans="2:13">
      <c r="B363" s="12" t="s">
        <v>156</v>
      </c>
      <c r="C363" s="12"/>
      <c r="D363" s="12"/>
      <c r="E363" s="12"/>
      <c r="F363" s="12"/>
      <c r="G363" s="12"/>
      <c r="H363" s="12"/>
      <c r="I363" s="12"/>
      <c r="J363" s="12"/>
      <c r="K363" s="12"/>
      <c r="L363" s="12"/>
      <c r="M363" s="12"/>
    </row>
    <row r="364" spans="2:13" ht="15">
      <c r="B364" s="14" t="s">
        <v>157</v>
      </c>
      <c r="C364" s="14"/>
      <c r="D364" s="14"/>
      <c r="E364" s="12"/>
      <c r="F364" s="12"/>
      <c r="G364" s="12"/>
      <c r="H364" s="12"/>
      <c r="I364" s="12"/>
      <c r="J364" s="12"/>
      <c r="K364" s="12"/>
      <c r="L364" s="12"/>
      <c r="M364" s="12"/>
    </row>
    <row r="365" spans="2:13" ht="8.25" customHeight="1"/>
    <row r="366" spans="2:13" ht="15">
      <c r="E366" s="10"/>
      <c r="F366" s="10"/>
      <c r="G366" s="10" t="s">
        <v>158</v>
      </c>
      <c r="H366" s="10"/>
      <c r="I366" s="10" t="s">
        <v>159</v>
      </c>
      <c r="J366" s="10"/>
      <c r="K366" s="10" t="s">
        <v>160</v>
      </c>
      <c r="L366" s="10"/>
      <c r="M366" s="10"/>
    </row>
    <row r="367" spans="2:13" ht="15">
      <c r="E367" s="10" t="s">
        <v>280</v>
      </c>
      <c r="F367" s="10"/>
      <c r="G367" s="10" t="s">
        <v>280</v>
      </c>
      <c r="H367" s="10"/>
      <c r="I367" s="10" t="s">
        <v>281</v>
      </c>
      <c r="J367" s="10"/>
      <c r="K367" s="10" t="s">
        <v>282</v>
      </c>
      <c r="L367" s="10"/>
      <c r="M367" s="10" t="s">
        <v>283</v>
      </c>
    </row>
    <row r="368" spans="2:13" ht="15">
      <c r="E368" s="10" t="s">
        <v>284</v>
      </c>
      <c r="F368" s="10"/>
      <c r="G368" s="10" t="s">
        <v>284</v>
      </c>
      <c r="H368" s="10"/>
      <c r="I368" s="10" t="s">
        <v>284</v>
      </c>
      <c r="J368" s="10"/>
      <c r="K368" s="10" t="str">
        <f>K13</f>
        <v>Fund #1</v>
      </c>
      <c r="L368" s="10"/>
      <c r="M368" s="10" t="str">
        <f>M13</f>
        <v>Fund</v>
      </c>
    </row>
    <row r="369" spans="2:13" ht="9.75" customHeight="1"/>
    <row r="370" spans="2:13">
      <c r="B370" s="1" t="str">
        <f>B15</f>
        <v>1.  County Treasurer Balance 6/30/2011 *</v>
      </c>
      <c r="E370" s="52"/>
      <c r="F370" s="46"/>
      <c r="G370" s="52"/>
      <c r="H370" s="46"/>
      <c r="I370" s="52"/>
      <c r="J370" s="46"/>
      <c r="K370" s="52"/>
      <c r="L370" s="46"/>
      <c r="M370" s="52"/>
    </row>
    <row r="371" spans="2:13" ht="8.25" customHeight="1">
      <c r="B371" s="17"/>
      <c r="C371" s="17"/>
      <c r="D371" s="17"/>
      <c r="E371" s="53"/>
      <c r="F371" s="53"/>
      <c r="G371" s="53"/>
      <c r="H371" s="53"/>
      <c r="I371" s="53"/>
      <c r="J371" s="53"/>
      <c r="K371" s="53"/>
      <c r="L371" s="53"/>
      <c r="M371" s="53"/>
    </row>
    <row r="372" spans="2:13">
      <c r="B372" s="1" t="str">
        <f>B17</f>
        <v>2.  2010 Actual Taxes Levied*</v>
      </c>
      <c r="E372" s="52">
        <v>21599</v>
      </c>
      <c r="F372" s="46"/>
      <c r="G372" s="52">
        <v>24194</v>
      </c>
      <c r="H372" s="46"/>
      <c r="I372" s="52">
        <v>3280</v>
      </c>
      <c r="J372" s="46"/>
      <c r="K372" s="52"/>
      <c r="L372" s="46"/>
      <c r="M372" s="52"/>
    </row>
    <row r="373" spans="2:13" ht="7.5" customHeight="1">
      <c r="E373" s="46"/>
      <c r="F373" s="46"/>
      <c r="G373" s="46"/>
      <c r="H373" s="46"/>
      <c r="I373" s="46"/>
      <c r="J373" s="46"/>
      <c r="K373" s="46"/>
      <c r="L373" s="46"/>
      <c r="M373" s="46"/>
    </row>
    <row r="374" spans="2:13">
      <c r="B374" s="1" t="s">
        <v>285</v>
      </c>
      <c r="C374" s="19">
        <v>0</v>
      </c>
      <c r="E374" s="15">
        <f>SUM(E372*$C$374/100)</f>
        <v>0</v>
      </c>
      <c r="F374" s="15"/>
      <c r="G374" s="15">
        <f>SUM(G372*$C$374/100)</f>
        <v>0</v>
      </c>
      <c r="H374" s="15"/>
      <c r="I374" s="15">
        <f>SUM(I372*$C$374/100)</f>
        <v>0</v>
      </c>
      <c r="J374" s="15"/>
      <c r="K374" s="15">
        <f>SUM(K372*$C$374/100)</f>
        <v>0</v>
      </c>
      <c r="L374" s="15"/>
      <c r="M374" s="15">
        <f>SUM(M372*$C$374/100)</f>
        <v>0</v>
      </c>
    </row>
    <row r="375" spans="2:13" ht="7.5" customHeight="1">
      <c r="E375" s="46"/>
      <c r="F375" s="46"/>
      <c r="G375" s="46"/>
      <c r="H375" s="46"/>
      <c r="I375" s="46"/>
      <c r="J375" s="46"/>
      <c r="K375" s="46"/>
      <c r="L375" s="46"/>
      <c r="M375" s="46"/>
    </row>
    <row r="376" spans="2:13">
      <c r="B376" s="1" t="str">
        <f>B21</f>
        <v>4.  Less:  Jan. 20, 2011 Taxes received**</v>
      </c>
      <c r="C376" s="6"/>
      <c r="E376" s="52">
        <v>13701</v>
      </c>
      <c r="F376" s="46"/>
      <c r="G376" s="52">
        <v>15311</v>
      </c>
      <c r="H376" s="46"/>
      <c r="I376" s="52">
        <v>2076</v>
      </c>
      <c r="J376" s="46"/>
      <c r="K376" s="52"/>
      <c r="L376" s="46"/>
      <c r="M376" s="52"/>
    </row>
    <row r="377" spans="2:13" ht="8.25" customHeight="1">
      <c r="E377" s="46"/>
      <c r="F377" s="46"/>
      <c r="G377" s="46"/>
      <c r="H377" s="46"/>
      <c r="I377" s="46"/>
      <c r="J377" s="46"/>
      <c r="K377" s="46"/>
      <c r="L377" s="46"/>
      <c r="M377" s="46"/>
    </row>
    <row r="378" spans="2:13">
      <c r="B378" s="1" t="str">
        <f>B23</f>
        <v>5.  Less:  Mar. 20, 2011  Taxes received**</v>
      </c>
      <c r="E378" s="52">
        <v>1817</v>
      </c>
      <c r="F378" s="46"/>
      <c r="G378" s="52">
        <v>2064</v>
      </c>
      <c r="H378" s="46"/>
      <c r="I378" s="52">
        <v>280</v>
      </c>
      <c r="J378" s="46"/>
      <c r="K378" s="52"/>
      <c r="L378" s="46"/>
      <c r="M378" s="52"/>
    </row>
    <row r="379" spans="2:13" ht="7.5" customHeight="1">
      <c r="E379" s="46"/>
      <c r="F379" s="46"/>
      <c r="G379" s="46"/>
      <c r="H379" s="46"/>
      <c r="I379" s="46"/>
      <c r="J379" s="46"/>
      <c r="K379" s="46"/>
      <c r="L379" s="46"/>
      <c r="M379" s="46"/>
    </row>
    <row r="380" spans="2:13">
      <c r="B380" s="1" t="str">
        <f>B25</f>
        <v>6.  Less:  June 5,  2011 Taxes received**</v>
      </c>
      <c r="E380" s="52">
        <v>5412</v>
      </c>
      <c r="F380" s="46"/>
      <c r="G380" s="52">
        <v>6035</v>
      </c>
      <c r="H380" s="46"/>
      <c r="I380" s="52">
        <v>818</v>
      </c>
      <c r="J380" s="46"/>
      <c r="K380" s="52"/>
      <c r="L380" s="46"/>
      <c r="M380" s="52"/>
    </row>
    <row r="381" spans="2:13" ht="8.25" customHeight="1">
      <c r="E381" s="46"/>
      <c r="F381" s="46"/>
      <c r="G381" s="46"/>
      <c r="H381" s="46"/>
      <c r="I381" s="46"/>
      <c r="J381" s="46"/>
      <c r="K381" s="46"/>
      <c r="L381" s="46"/>
      <c r="M381" s="46"/>
    </row>
    <row r="382" spans="2:13">
      <c r="B382" s="1" t="s">
        <v>286</v>
      </c>
      <c r="E382" s="52"/>
      <c r="F382" s="46"/>
      <c r="G382" s="52"/>
      <c r="H382" s="46"/>
      <c r="I382" s="52"/>
      <c r="J382" s="46"/>
      <c r="K382" s="52"/>
      <c r="L382" s="46"/>
      <c r="M382" s="52"/>
    </row>
    <row r="383" spans="2:13" ht="7.5" customHeight="1">
      <c r="E383" s="46"/>
      <c r="F383" s="46"/>
      <c r="G383" s="46"/>
      <c r="H383" s="46"/>
      <c r="I383" s="46"/>
      <c r="J383" s="46"/>
      <c r="K383" s="46"/>
      <c r="L383" s="46"/>
      <c r="M383" s="46"/>
    </row>
    <row r="384" spans="2:13">
      <c r="B384" s="1" t="s">
        <v>165</v>
      </c>
      <c r="E384" s="52"/>
      <c r="F384" s="46"/>
      <c r="G384" s="52"/>
      <c r="H384" s="46"/>
      <c r="I384" s="52"/>
      <c r="J384" s="46"/>
      <c r="K384" s="52"/>
      <c r="L384" s="46"/>
      <c r="M384" s="52"/>
    </row>
    <row r="385" spans="2:14">
      <c r="B385" s="1" t="s">
        <v>166</v>
      </c>
      <c r="E385" s="54"/>
      <c r="F385" s="46"/>
      <c r="G385" s="54"/>
      <c r="H385" s="46"/>
      <c r="I385" s="54"/>
      <c r="J385" s="46"/>
      <c r="K385" s="54"/>
      <c r="L385" s="46"/>
      <c r="M385" s="54"/>
    </row>
    <row r="386" spans="2:14">
      <c r="B386" s="1" t="s">
        <v>167</v>
      </c>
      <c r="E386" s="15">
        <f>SUM(E374:E385)</f>
        <v>20930</v>
      </c>
      <c r="F386" s="16"/>
      <c r="G386" s="15">
        <f>SUM(G374:G385)</f>
        <v>23410</v>
      </c>
      <c r="H386" s="16"/>
      <c r="I386" s="15">
        <f>SUM(I374:I385)</f>
        <v>3174</v>
      </c>
      <c r="J386" s="16"/>
      <c r="K386" s="15">
        <f>SUM(K374:K385)</f>
        <v>0</v>
      </c>
      <c r="L386" s="16"/>
      <c r="M386" s="15">
        <f>SUM(M374:M385)</f>
        <v>0</v>
      </c>
    </row>
    <row r="387" spans="2:14" ht="6" customHeight="1">
      <c r="E387" s="16"/>
      <c r="F387" s="16"/>
      <c r="G387" s="16"/>
      <c r="H387" s="16"/>
      <c r="I387" s="16"/>
      <c r="J387" s="16"/>
      <c r="K387" s="16"/>
      <c r="L387" s="16"/>
      <c r="M387" s="16"/>
    </row>
    <row r="388" spans="2:14">
      <c r="B388" s="1" t="str">
        <f>B33</f>
        <v>11. 2010 taxes receivable (taxes in process</v>
      </c>
      <c r="E388" s="16"/>
      <c r="F388" s="16"/>
      <c r="G388" s="16"/>
      <c r="H388" s="16"/>
      <c r="I388" s="16"/>
      <c r="J388" s="16"/>
      <c r="K388" s="16"/>
      <c r="L388" s="16"/>
      <c r="M388" s="16"/>
    </row>
    <row r="389" spans="2:14">
      <c r="B389" s="1" t="str">
        <f>B34</f>
        <v xml:space="preserve">     of collection 6/30/2011)(Line 2 less Line 10)</v>
      </c>
      <c r="E389" s="15">
        <f>IF(E386&lt;=0,0,E372-E386)</f>
        <v>669</v>
      </c>
      <c r="F389" s="16"/>
      <c r="G389" s="15">
        <f>IF(G386&lt;=0,0,G372-G386)</f>
        <v>784</v>
      </c>
      <c r="H389" s="16"/>
      <c r="I389" s="15">
        <f>IF(I386&lt;=0,0,I372-I386)</f>
        <v>106</v>
      </c>
      <c r="J389" s="16"/>
      <c r="K389" s="15">
        <f>IF(K386&lt;=0,0,(K372-K386))</f>
        <v>0</v>
      </c>
      <c r="L389" s="16"/>
      <c r="M389" s="15">
        <f>IF(M386&lt;=0,0,M372-M386)</f>
        <v>0</v>
      </c>
    </row>
    <row r="390" spans="2:14" ht="6.75" customHeight="1">
      <c r="E390" s="21"/>
      <c r="F390" s="16"/>
      <c r="G390" s="21"/>
      <c r="H390" s="16"/>
      <c r="I390" s="21"/>
      <c r="J390" s="16"/>
      <c r="K390" s="21"/>
      <c r="L390" s="16"/>
      <c r="M390" s="21"/>
    </row>
    <row r="391" spans="2:14">
      <c r="B391" s="1" t="s">
        <v>288</v>
      </c>
      <c r="E391" s="16"/>
      <c r="F391" s="16"/>
      <c r="G391" s="16"/>
      <c r="H391" s="16"/>
      <c r="I391" s="16"/>
      <c r="J391" s="16"/>
      <c r="K391" s="16"/>
      <c r="L391" s="16"/>
      <c r="M391" s="16"/>
    </row>
    <row r="392" spans="2:14">
      <c r="B392" s="1" t="s">
        <v>289</v>
      </c>
      <c r="E392" s="16"/>
      <c r="F392" s="16"/>
      <c r="G392" s="16"/>
      <c r="H392" s="16"/>
      <c r="I392" s="16"/>
      <c r="J392" s="16"/>
      <c r="K392" s="16"/>
      <c r="L392" s="16"/>
      <c r="M392" s="16"/>
    </row>
    <row r="393" spans="2:14">
      <c r="B393" s="1" t="str">
        <f>B38</f>
        <v xml:space="preserve">     (7-1-2011 to 12-31-2012) (Line 3 x 75%)</v>
      </c>
      <c r="E393" s="15">
        <f>SUM(E374*0.75)</f>
        <v>0</v>
      </c>
      <c r="F393" s="16"/>
      <c r="G393" s="15">
        <f>SUM(G374*0.75)</f>
        <v>0</v>
      </c>
      <c r="H393" s="16"/>
      <c r="I393" s="15">
        <f>SUM(I374*0.75)</f>
        <v>0</v>
      </c>
      <c r="J393" s="16"/>
      <c r="K393" s="15">
        <f>SUM(K374*0.75)</f>
        <v>0</v>
      </c>
      <c r="L393" s="16"/>
      <c r="M393" s="15">
        <f>SUM(M374*0.75)</f>
        <v>0</v>
      </c>
    </row>
    <row r="394" spans="2:14" ht="15">
      <c r="B394" s="41" t="str">
        <f>B40</f>
        <v>Tax Collection Ratio (Jan, Mar, June)</v>
      </c>
      <c r="C394" s="17"/>
      <c r="D394" s="17"/>
      <c r="E394" s="42">
        <f>IF(E372&lt;&gt;0,(E376+E378+E380+E382+E384)/E372*100,0)</f>
        <v>96.903000000000006</v>
      </c>
      <c r="F394" s="26" t="s">
        <v>290</v>
      </c>
      <c r="G394" s="42">
        <f>IF(G372&lt;&gt;0,(G376+G378+G380+G382+G384)/G372*100,0)</f>
        <v>96.76</v>
      </c>
      <c r="H394" s="26" t="s">
        <v>290</v>
      </c>
      <c r="I394" s="42">
        <f>IF(I372&lt;&gt;0,(I376+I378+I380+I382+I384)/I372*100,0)</f>
        <v>96.768000000000001</v>
      </c>
      <c r="J394" s="26" t="s">
        <v>290</v>
      </c>
      <c r="K394" s="42">
        <f>IF(K372&lt;&gt;0,(K376+K378+K380+K382+K384)/K372*100,0)</f>
        <v>0</v>
      </c>
      <c r="L394" s="26" t="s">
        <v>290</v>
      </c>
      <c r="M394" s="42">
        <f>IF(M372&lt;&gt;0,(M376+M378+M380+M382+M384)/M372*100,0)</f>
        <v>0</v>
      </c>
      <c r="N394" s="24" t="s">
        <v>290</v>
      </c>
    </row>
    <row r="395" spans="2:14" ht="2.25" customHeight="1">
      <c r="B395" s="27"/>
      <c r="C395" s="24"/>
      <c r="D395" s="24"/>
      <c r="E395" s="24"/>
      <c r="F395" s="24"/>
      <c r="G395" s="24"/>
      <c r="H395" s="24"/>
      <c r="I395" s="24"/>
      <c r="J395" s="24"/>
      <c r="K395" s="24"/>
      <c r="L395" s="24"/>
      <c r="M395" s="24"/>
    </row>
    <row r="396" spans="2:14" ht="0.75" hidden="1" customHeight="1">
      <c r="B396" s="34"/>
      <c r="C396" s="34"/>
      <c r="D396" s="34"/>
      <c r="E396" s="34"/>
      <c r="F396" s="34"/>
      <c r="G396" s="34"/>
      <c r="H396" s="34"/>
      <c r="I396" s="55"/>
      <c r="J396" s="34"/>
      <c r="K396" s="34"/>
      <c r="L396" s="34"/>
      <c r="M396" s="34"/>
    </row>
    <row r="397" spans="2:14" ht="0.75" hidden="1" customHeight="1">
      <c r="B397" s="37"/>
      <c r="C397" s="37"/>
      <c r="D397" s="37"/>
      <c r="E397" s="37"/>
      <c r="F397" s="37"/>
      <c r="G397" s="37"/>
      <c r="H397" s="37"/>
      <c r="I397" s="37"/>
      <c r="J397" s="37"/>
      <c r="K397" s="37"/>
      <c r="L397" s="37"/>
      <c r="M397" s="37"/>
    </row>
    <row r="398" spans="2:14" ht="1.5" hidden="1" customHeight="1">
      <c r="B398" s="37"/>
      <c r="C398" s="37"/>
      <c r="D398" s="37"/>
      <c r="E398" s="37"/>
      <c r="F398" s="37"/>
      <c r="G398" s="37"/>
      <c r="H398" s="37"/>
      <c r="I398" s="37"/>
      <c r="J398" s="37"/>
      <c r="K398" s="37"/>
      <c r="L398" s="37"/>
      <c r="M398" s="37"/>
    </row>
    <row r="399" spans="2:14" ht="3" hidden="1" customHeight="1">
      <c r="B399" s="37"/>
      <c r="C399" s="37"/>
      <c r="D399" s="37"/>
      <c r="E399" s="37"/>
      <c r="F399" s="37"/>
      <c r="G399" s="37"/>
      <c r="H399" s="37"/>
      <c r="I399" s="37"/>
      <c r="J399" s="37"/>
      <c r="K399" s="37"/>
      <c r="L399" s="37"/>
      <c r="M399" s="37"/>
    </row>
    <row r="400" spans="2:14" ht="3" hidden="1" customHeight="1">
      <c r="B400" s="37"/>
      <c r="C400" s="37"/>
      <c r="D400" s="37"/>
      <c r="E400" s="37"/>
      <c r="F400" s="37"/>
      <c r="G400" s="37"/>
      <c r="H400" s="37"/>
      <c r="I400" s="37"/>
      <c r="J400" s="37"/>
      <c r="K400" s="37"/>
      <c r="L400" s="37"/>
      <c r="M400" s="37"/>
    </row>
    <row r="401" spans="2:14" ht="3" hidden="1" customHeight="1">
      <c r="B401" s="37"/>
      <c r="C401" s="37"/>
      <c r="D401" s="37"/>
      <c r="E401" s="37"/>
      <c r="F401" s="37"/>
      <c r="G401" s="37"/>
      <c r="H401" s="37"/>
      <c r="I401" s="37"/>
      <c r="J401" s="37"/>
      <c r="K401" s="37"/>
      <c r="L401" s="37"/>
      <c r="M401" s="37"/>
    </row>
    <row r="402" spans="2:14" ht="3" hidden="1" customHeight="1">
      <c r="B402" s="37"/>
      <c r="C402" s="37"/>
      <c r="D402" s="37"/>
      <c r="E402" s="37"/>
      <c r="F402" s="37"/>
      <c r="G402" s="37"/>
      <c r="H402" s="37"/>
      <c r="I402" s="37"/>
      <c r="J402" s="37"/>
      <c r="K402" s="37"/>
      <c r="L402" s="37"/>
      <c r="M402" s="37"/>
    </row>
    <row r="403" spans="2:14" ht="15" customHeight="1">
      <c r="B403" s="1" t="str">
        <f>B98</f>
        <v>*Amounts are available from the County Treasurer.       **These Jan.-June, 2011 amounts are available from the County Treasurer.  (Does not</v>
      </c>
      <c r="C403" s="37"/>
      <c r="D403" s="37"/>
      <c r="E403" s="37"/>
      <c r="F403" s="37"/>
      <c r="G403" s="37"/>
      <c r="H403" s="37"/>
      <c r="I403" s="37"/>
      <c r="J403" s="37"/>
      <c r="K403" s="37"/>
      <c r="L403" s="37"/>
      <c r="M403" s="37"/>
    </row>
    <row r="404" spans="2:14">
      <c r="B404" s="1" t="str">
        <f>B99</f>
        <v xml:space="preserve"> include MVPT.  Should correspond to school records.)</v>
      </c>
      <c r="C404" s="37"/>
      <c r="D404" s="37"/>
      <c r="E404" s="37"/>
      <c r="F404" s="37"/>
      <c r="G404" s="37"/>
      <c r="H404" s="37"/>
      <c r="I404" s="37"/>
      <c r="J404" s="37"/>
      <c r="K404" s="37"/>
      <c r="L404" s="37"/>
      <c r="M404" s="37"/>
    </row>
    <row r="405" spans="2:14">
      <c r="B405" s="1" t="s">
        <v>354</v>
      </c>
    </row>
    <row r="406" spans="2:14" ht="15">
      <c r="B406" s="1" t="s">
        <v>148</v>
      </c>
      <c r="M406" s="2" t="s">
        <v>178</v>
      </c>
    </row>
    <row r="407" spans="2:14">
      <c r="B407" s="3">
        <f>B2</f>
        <v>40664</v>
      </c>
      <c r="C407" s="4"/>
      <c r="D407" s="4"/>
      <c r="F407" s="6"/>
      <c r="G407" s="6" t="s">
        <v>150</v>
      </c>
      <c r="H407" s="6"/>
      <c r="I407" s="8" t="str">
        <f>I357</f>
        <v>395 - LaCrosse</v>
      </c>
      <c r="J407" s="8"/>
      <c r="K407" s="38" t="s">
        <v>151</v>
      </c>
      <c r="L407" s="37"/>
      <c r="M407" s="9">
        <f>M357</f>
        <v>395</v>
      </c>
    </row>
    <row r="408" spans="2:14">
      <c r="K408" s="6" t="s">
        <v>153</v>
      </c>
      <c r="M408" s="8" t="str">
        <f>M358</f>
        <v>NESS</v>
      </c>
    </row>
    <row r="409" spans="2:14" ht="9" customHeight="1">
      <c r="E409" s="12"/>
      <c r="F409" s="12"/>
      <c r="G409" s="12"/>
      <c r="H409" s="12"/>
      <c r="I409" s="12"/>
      <c r="J409" s="12"/>
      <c r="K409" s="13"/>
      <c r="L409" s="13"/>
      <c r="M409" s="12"/>
    </row>
    <row r="410" spans="2:14">
      <c r="B410" s="12" t="str">
        <f>B6</f>
        <v>2011-2012</v>
      </c>
      <c r="C410" s="12"/>
      <c r="D410" s="12"/>
      <c r="E410" s="12"/>
      <c r="F410" s="12"/>
      <c r="G410" s="12"/>
      <c r="H410" s="12"/>
      <c r="I410" s="12"/>
      <c r="J410" s="12"/>
      <c r="K410" s="12"/>
      <c r="L410" s="12"/>
      <c r="M410" s="12"/>
    </row>
    <row r="411" spans="2:14">
      <c r="B411" s="12" t="s">
        <v>155</v>
      </c>
      <c r="C411" s="12"/>
      <c r="D411" s="12"/>
      <c r="E411" s="12"/>
      <c r="F411" s="12"/>
      <c r="G411" s="12"/>
      <c r="H411" s="12"/>
      <c r="I411" s="12"/>
      <c r="J411" s="12"/>
      <c r="K411" s="12"/>
      <c r="L411" s="12"/>
      <c r="M411" s="12"/>
    </row>
    <row r="412" spans="2:14">
      <c r="B412" s="12" t="s">
        <v>156</v>
      </c>
      <c r="C412" s="12"/>
      <c r="D412" s="12"/>
      <c r="E412" s="12"/>
      <c r="F412" s="12"/>
      <c r="G412" s="12"/>
      <c r="H412" s="12"/>
      <c r="I412" s="12"/>
      <c r="J412" s="12"/>
      <c r="K412" s="12"/>
      <c r="L412" s="12"/>
      <c r="M412" s="12"/>
    </row>
    <row r="413" spans="2:14" ht="15">
      <c r="B413" s="14" t="s">
        <v>157</v>
      </c>
      <c r="C413" s="14"/>
      <c r="D413" s="14"/>
      <c r="E413" s="12"/>
      <c r="F413" s="12"/>
      <c r="G413" s="12"/>
      <c r="H413" s="12"/>
      <c r="I413" s="12"/>
      <c r="J413" s="12"/>
      <c r="K413" s="12"/>
      <c r="L413" s="12"/>
      <c r="M413" s="12"/>
    </row>
    <row r="414" spans="2:14" ht="8.25" customHeight="1">
      <c r="E414" s="10"/>
      <c r="F414" s="10"/>
      <c r="G414" s="10"/>
      <c r="H414" s="10"/>
      <c r="I414" s="10"/>
      <c r="J414" s="10"/>
      <c r="K414" s="10"/>
      <c r="L414" s="10"/>
      <c r="M414" s="10"/>
    </row>
    <row r="415" spans="2:14" ht="15">
      <c r="E415" s="10" t="s">
        <v>179</v>
      </c>
      <c r="F415" s="10"/>
      <c r="G415" s="419" t="s">
        <v>180</v>
      </c>
      <c r="H415" s="10"/>
      <c r="I415" s="419" t="s">
        <v>181</v>
      </c>
      <c r="J415" s="10"/>
      <c r="K415" s="419" t="s">
        <v>30</v>
      </c>
      <c r="M415"/>
      <c r="N415"/>
    </row>
    <row r="416" spans="2:14" ht="15">
      <c r="E416" s="10" t="s">
        <v>328</v>
      </c>
      <c r="F416" s="10"/>
      <c r="G416" s="10" t="s">
        <v>24</v>
      </c>
      <c r="H416" s="10"/>
      <c r="I416" s="419" t="s">
        <v>329</v>
      </c>
      <c r="J416" s="10"/>
      <c r="K416" s="419" t="str">
        <f>K61</f>
        <v>Interest #2</v>
      </c>
      <c r="M416"/>
      <c r="N416"/>
    </row>
    <row r="417" spans="2:14" ht="8.25" customHeight="1">
      <c r="M417"/>
      <c r="N417"/>
    </row>
    <row r="418" spans="2:14">
      <c r="B418" s="1" t="str">
        <f>B15</f>
        <v>1.  County Treasurer Balance 6/30/2011 *</v>
      </c>
      <c r="E418" s="52"/>
      <c r="F418" s="46"/>
      <c r="G418" s="52"/>
      <c r="H418" s="46"/>
      <c r="I418" s="52"/>
      <c r="J418" s="46"/>
      <c r="K418" s="52"/>
      <c r="M418"/>
      <c r="N418"/>
    </row>
    <row r="419" spans="2:14" ht="7.5" customHeight="1">
      <c r="B419" s="17"/>
      <c r="C419" s="17"/>
      <c r="D419" s="17"/>
      <c r="E419" s="53"/>
      <c r="F419" s="53"/>
      <c r="G419" s="53"/>
      <c r="H419" s="53"/>
      <c r="I419" s="53"/>
      <c r="J419" s="53"/>
      <c r="K419" s="53"/>
      <c r="M419"/>
      <c r="N419"/>
    </row>
    <row r="420" spans="2:14">
      <c r="B420" s="1" t="str">
        <f>B17</f>
        <v>2.  2010 Actual Taxes Levied*</v>
      </c>
      <c r="E420" s="52"/>
      <c r="F420" s="46"/>
      <c r="G420" s="52"/>
      <c r="H420" s="46"/>
      <c r="I420" s="52"/>
      <c r="J420" s="46"/>
      <c r="K420" s="52"/>
      <c r="M420"/>
      <c r="N420"/>
    </row>
    <row r="421" spans="2:14" ht="9" customHeight="1">
      <c r="E421" s="46"/>
      <c r="F421" s="46"/>
      <c r="G421" s="46"/>
      <c r="H421" s="46"/>
      <c r="I421" s="46"/>
      <c r="J421" s="46"/>
      <c r="K421" s="46"/>
      <c r="M421"/>
      <c r="N421"/>
    </row>
    <row r="422" spans="2:14">
      <c r="B422" s="1" t="s">
        <v>330</v>
      </c>
      <c r="C422" s="33">
        <f>C374</f>
        <v>0</v>
      </c>
      <c r="D422" s="40"/>
      <c r="E422" s="15">
        <f>E420*$C$422/100</f>
        <v>0</v>
      </c>
      <c r="F422" s="15"/>
      <c r="G422" s="15">
        <f>G420*$C$422/100</f>
        <v>0</v>
      </c>
      <c r="H422" s="15"/>
      <c r="I422" s="15">
        <f>I420*$C$422/100</f>
        <v>0</v>
      </c>
      <c r="J422" s="15"/>
      <c r="K422" s="15">
        <f>K420*$C$422/100</f>
        <v>0</v>
      </c>
      <c r="L422" s="15"/>
      <c r="M422"/>
      <c r="N422"/>
    </row>
    <row r="423" spans="2:14" ht="9" customHeight="1">
      <c r="E423" s="46"/>
      <c r="F423" s="46"/>
      <c r="G423" s="46"/>
      <c r="H423" s="46"/>
      <c r="I423" s="46"/>
      <c r="J423" s="46"/>
      <c r="K423" s="46"/>
      <c r="M423"/>
      <c r="N423"/>
    </row>
    <row r="424" spans="2:14">
      <c r="B424" s="1" t="str">
        <f>B21</f>
        <v>4.  Less:  Jan. 20, 2011 Taxes received**</v>
      </c>
      <c r="E424" s="52"/>
      <c r="F424" s="46"/>
      <c r="G424" s="52"/>
      <c r="H424" s="46"/>
      <c r="I424" s="52"/>
      <c r="J424" s="46"/>
      <c r="K424" s="52"/>
      <c r="M424"/>
      <c r="N424"/>
    </row>
    <row r="425" spans="2:14" ht="7.5" customHeight="1">
      <c r="E425" s="46"/>
      <c r="F425" s="46"/>
      <c r="G425" s="46"/>
      <c r="H425" s="46"/>
      <c r="I425" s="46"/>
      <c r="J425" s="46"/>
      <c r="K425" s="46"/>
      <c r="M425"/>
      <c r="N425"/>
    </row>
    <row r="426" spans="2:14">
      <c r="B426" s="1" t="str">
        <f>B23</f>
        <v>5.  Less:  Mar. 20, 2011  Taxes received**</v>
      </c>
      <c r="E426" s="52"/>
      <c r="F426" s="46"/>
      <c r="G426" s="52"/>
      <c r="H426" s="46"/>
      <c r="I426" s="52"/>
      <c r="J426" s="46"/>
      <c r="K426" s="52"/>
      <c r="M426"/>
      <c r="N426"/>
    </row>
    <row r="427" spans="2:14" ht="8.25" customHeight="1">
      <c r="E427" s="56"/>
      <c r="F427" s="46"/>
      <c r="G427" s="56"/>
      <c r="H427" s="46"/>
      <c r="I427" s="56"/>
      <c r="J427" s="46"/>
      <c r="K427" s="56"/>
      <c r="M427"/>
      <c r="N427"/>
    </row>
    <row r="428" spans="2:14">
      <c r="B428" s="1" t="str">
        <f>B25</f>
        <v>6.  Less:  June 5,  2011 Taxes received**</v>
      </c>
      <c r="E428" s="52"/>
      <c r="F428" s="46"/>
      <c r="G428" s="52"/>
      <c r="H428" s="46"/>
      <c r="I428" s="52"/>
      <c r="J428" s="46"/>
      <c r="K428" s="52"/>
      <c r="M428"/>
      <c r="N428"/>
    </row>
    <row r="429" spans="2:14" ht="8.25" customHeight="1">
      <c r="E429" s="56"/>
      <c r="F429" s="46"/>
      <c r="G429" s="56"/>
      <c r="H429" s="46"/>
      <c r="I429" s="56"/>
      <c r="J429" s="46"/>
      <c r="K429" s="56"/>
      <c r="M429"/>
      <c r="N429"/>
    </row>
    <row r="430" spans="2:14">
      <c r="B430" s="1" t="s">
        <v>286</v>
      </c>
      <c r="E430" s="52"/>
      <c r="F430" s="46"/>
      <c r="G430" s="52"/>
      <c r="H430" s="46"/>
      <c r="I430" s="52"/>
      <c r="J430" s="46"/>
      <c r="K430" s="52"/>
      <c r="M430"/>
      <c r="N430"/>
    </row>
    <row r="431" spans="2:14" ht="8.25" customHeight="1">
      <c r="E431" s="46"/>
      <c r="F431" s="46"/>
      <c r="G431" s="46"/>
      <c r="H431" s="46"/>
      <c r="I431" s="46"/>
      <c r="J431" s="46"/>
      <c r="K431" s="46"/>
      <c r="M431"/>
      <c r="N431"/>
    </row>
    <row r="432" spans="2:14">
      <c r="B432" s="1" t="s">
        <v>165</v>
      </c>
      <c r="E432" s="52"/>
      <c r="F432" s="46"/>
      <c r="G432" s="52"/>
      <c r="H432" s="46"/>
      <c r="I432" s="52"/>
      <c r="J432" s="46"/>
      <c r="K432" s="52"/>
      <c r="M432"/>
      <c r="N432"/>
    </row>
    <row r="433" spans="2:14">
      <c r="B433" s="1" t="s">
        <v>166</v>
      </c>
      <c r="E433" s="54"/>
      <c r="F433" s="46"/>
      <c r="G433" s="54"/>
      <c r="H433" s="46"/>
      <c r="I433" s="54"/>
      <c r="J433" s="46"/>
      <c r="K433" s="54"/>
      <c r="M433"/>
      <c r="N433"/>
    </row>
    <row r="434" spans="2:14">
      <c r="B434" s="1" t="s">
        <v>331</v>
      </c>
      <c r="E434" s="15">
        <f>SUM(E422:E433)</f>
        <v>0</v>
      </c>
      <c r="F434" s="21"/>
      <c r="G434" s="15">
        <f>SUM(G422:G433)</f>
        <v>0</v>
      </c>
      <c r="H434" s="21"/>
      <c r="I434" s="15">
        <f>SUM(I422:I433)</f>
        <v>0</v>
      </c>
      <c r="J434" s="21"/>
      <c r="K434" s="15">
        <f>SUM(K422:K433)</f>
        <v>0</v>
      </c>
      <c r="L434" s="40"/>
      <c r="M434"/>
      <c r="N434"/>
    </row>
    <row r="435" spans="2:14" ht="8.25" customHeight="1">
      <c r="E435" s="16"/>
      <c r="F435" s="16"/>
      <c r="G435" s="16"/>
      <c r="H435" s="16"/>
      <c r="I435" s="16"/>
      <c r="J435" s="16"/>
      <c r="K435" s="16"/>
      <c r="L435" s="40"/>
      <c r="M435"/>
      <c r="N435"/>
    </row>
    <row r="436" spans="2:14">
      <c r="B436" s="1" t="str">
        <f>B33</f>
        <v>11. 2010 taxes receivable (taxes in process</v>
      </c>
      <c r="E436" s="16"/>
      <c r="F436" s="16"/>
      <c r="G436" s="16"/>
      <c r="H436" s="16"/>
      <c r="I436" s="16"/>
      <c r="J436" s="16"/>
      <c r="K436" s="16"/>
      <c r="L436" s="40"/>
      <c r="M436"/>
      <c r="N436"/>
    </row>
    <row r="437" spans="2:14">
      <c r="B437" s="1" t="str">
        <f>B34</f>
        <v xml:space="preserve">     of collection 6/30/2011)(Line 2 less Line 10)</v>
      </c>
      <c r="E437" s="15">
        <f>IF(E434&lt;=0,0,E420-E434)</f>
        <v>0</v>
      </c>
      <c r="F437" s="21"/>
      <c r="G437" s="15">
        <f>IF(G434&lt;=0,0,G420-G434)</f>
        <v>0</v>
      </c>
      <c r="H437" s="21"/>
      <c r="I437" s="15">
        <f>IF(I434&lt;=0,0,I420-I434)</f>
        <v>0</v>
      </c>
      <c r="J437" s="21"/>
      <c r="K437" s="15">
        <f>IF(K434&lt;=0,0,K420-K434)</f>
        <v>0</v>
      </c>
      <c r="L437" s="15"/>
      <c r="M437"/>
      <c r="N437"/>
    </row>
    <row r="438" spans="2:14" ht="8.25" customHeight="1">
      <c r="E438" s="16"/>
      <c r="F438" s="16"/>
      <c r="G438" s="16"/>
      <c r="H438" s="16"/>
      <c r="I438" s="16"/>
      <c r="J438" s="16"/>
      <c r="K438" s="16"/>
      <c r="L438" s="40"/>
      <c r="M438"/>
      <c r="N438"/>
    </row>
    <row r="439" spans="2:14">
      <c r="B439" s="1" t="s">
        <v>236</v>
      </c>
      <c r="E439" s="16"/>
      <c r="F439" s="16"/>
      <c r="G439" s="16"/>
      <c r="H439" s="16"/>
      <c r="I439" s="16"/>
      <c r="J439" s="16"/>
      <c r="K439" s="16"/>
      <c r="L439" s="40"/>
      <c r="M439"/>
      <c r="N439"/>
    </row>
    <row r="440" spans="2:14">
      <c r="B440" s="1" t="s">
        <v>289</v>
      </c>
      <c r="E440" s="16"/>
      <c r="F440" s="16"/>
      <c r="G440" s="16"/>
      <c r="H440" s="16"/>
      <c r="I440" s="16"/>
      <c r="J440" s="16"/>
      <c r="K440" s="16"/>
      <c r="L440" s="40"/>
      <c r="M440"/>
      <c r="N440"/>
    </row>
    <row r="441" spans="2:14">
      <c r="B441" s="1" t="str">
        <f>B38</f>
        <v xml:space="preserve">     (7-1-2011 to 12-31-2012) (Line 3 x 75%)</v>
      </c>
      <c r="E441" s="15">
        <f>SUM(E422*0.75)</f>
        <v>0</v>
      </c>
      <c r="F441" s="21"/>
      <c r="G441" s="15">
        <f>SUM(G422*0.75)</f>
        <v>0</v>
      </c>
      <c r="H441" s="21"/>
      <c r="I441" s="15">
        <f>SUM(I422*0.75)</f>
        <v>0</v>
      </c>
      <c r="J441" s="21"/>
      <c r="K441" s="15">
        <f>SUM(K422*0.75)</f>
        <v>0</v>
      </c>
      <c r="L441" s="40"/>
      <c r="M441"/>
      <c r="N441"/>
    </row>
    <row r="442" spans="2:14" ht="8.25" customHeight="1">
      <c r="E442" s="40"/>
      <c r="F442" s="40"/>
      <c r="G442" s="40"/>
      <c r="H442" s="40"/>
      <c r="I442" s="40"/>
      <c r="J442" s="40"/>
      <c r="K442" s="40"/>
      <c r="L442" s="40"/>
      <c r="M442"/>
      <c r="N442"/>
    </row>
    <row r="443" spans="2:14" ht="15">
      <c r="B443" s="41" t="str">
        <f>B40</f>
        <v>Tax Collection Ratio (Jan, Mar, June)</v>
      </c>
      <c r="C443" s="17"/>
      <c r="D443" s="17"/>
      <c r="E443" s="42">
        <f>IF(D420&lt;&gt;0,(E424+E426+E428+E430+E432)/E420*100,0)</f>
        <v>0</v>
      </c>
      <c r="F443" s="26" t="s">
        <v>290</v>
      </c>
      <c r="G443" s="42">
        <f>IF(F420&lt;&gt;0,(G424+G426+G428+G430+G432)/G420*100,0)</f>
        <v>0</v>
      </c>
      <c r="H443" s="26" t="s">
        <v>290</v>
      </c>
      <c r="I443" s="42">
        <f>IF(H420&lt;&gt;0,(I424+I426+I428+I430+I432)/I420*100,0)</f>
        <v>0</v>
      </c>
      <c r="J443" s="26" t="s">
        <v>290</v>
      </c>
      <c r="K443" s="42">
        <f>IF(J420&lt;&gt;0,(K424+K426+K428+K430+K432)/K420*100,0)</f>
        <v>0</v>
      </c>
      <c r="L443" s="26" t="s">
        <v>290</v>
      </c>
      <c r="M443"/>
      <c r="N443"/>
    </row>
    <row r="444" spans="2:14" ht="13.5" customHeight="1">
      <c r="B444" s="37"/>
      <c r="C444" s="37"/>
      <c r="D444" s="37"/>
      <c r="E444" s="37"/>
      <c r="F444" s="37"/>
      <c r="G444" s="37"/>
      <c r="H444" s="37"/>
      <c r="I444" s="37"/>
      <c r="J444" s="37"/>
      <c r="K444" s="37"/>
      <c r="L444" s="37"/>
      <c r="M444" s="37"/>
    </row>
    <row r="445" spans="2:14" ht="3" hidden="1" customHeight="1">
      <c r="B445" s="37"/>
      <c r="C445" s="37"/>
      <c r="D445" s="37"/>
      <c r="E445" s="37"/>
      <c r="F445" s="37"/>
      <c r="G445" s="37"/>
      <c r="H445" s="37"/>
      <c r="I445" s="37"/>
      <c r="J445" s="37"/>
      <c r="K445" s="37"/>
      <c r="L445" s="37"/>
      <c r="M445" s="37"/>
    </row>
    <row r="446" spans="2:14" ht="3.75" hidden="1" customHeight="1">
      <c r="B446" s="37"/>
      <c r="C446" s="37"/>
      <c r="D446" s="37"/>
      <c r="E446" s="37"/>
      <c r="F446" s="37"/>
      <c r="G446" s="37"/>
      <c r="H446" s="37"/>
      <c r="I446" s="37"/>
      <c r="J446" s="37"/>
      <c r="K446" s="37"/>
      <c r="L446" s="37"/>
      <c r="M446" s="37"/>
    </row>
    <row r="447" spans="2:14" ht="0.75" hidden="1" customHeight="1">
      <c r="B447" s="37"/>
      <c r="C447" s="37"/>
      <c r="D447" s="37"/>
      <c r="E447" s="37"/>
      <c r="F447" s="37"/>
      <c r="G447" s="37"/>
      <c r="H447" s="37"/>
      <c r="I447" s="37"/>
      <c r="J447" s="37"/>
      <c r="K447" s="37"/>
      <c r="L447" s="37"/>
      <c r="M447" s="37"/>
    </row>
    <row r="448" spans="2:14" ht="0.75" hidden="1" customHeight="1"/>
    <row r="449" spans="2:13">
      <c r="B449" s="1" t="str">
        <f>B98</f>
        <v>*Amounts are available from the County Treasurer.       **These Jan.-June, 2011 amounts are available from the County Treasurer.  (Does not</v>
      </c>
    </row>
    <row r="450" spans="2:13">
      <c r="B450" s="1" t="str">
        <f>B99</f>
        <v xml:space="preserve"> include MVPT.  Should correspond to school records.)</v>
      </c>
    </row>
    <row r="451" spans="2:13" ht="15">
      <c r="B451" s="1" t="s">
        <v>148</v>
      </c>
      <c r="M451" s="2" t="s">
        <v>337</v>
      </c>
    </row>
    <row r="452" spans="2:13">
      <c r="B452" s="3">
        <f>B2</f>
        <v>40664</v>
      </c>
      <c r="C452" s="4"/>
      <c r="D452" s="4"/>
      <c r="G452" s="6" t="s">
        <v>150</v>
      </c>
      <c r="H452" s="6"/>
      <c r="I452" s="8" t="str">
        <f>I357</f>
        <v>395 - LaCrosse</v>
      </c>
      <c r="J452" s="8"/>
      <c r="K452" s="8"/>
      <c r="L452" s="6" t="s">
        <v>151</v>
      </c>
      <c r="M452" s="9">
        <f>M357</f>
        <v>395</v>
      </c>
    </row>
    <row r="453" spans="2:13">
      <c r="K453" s="6" t="s">
        <v>153</v>
      </c>
      <c r="M453" s="8" t="str">
        <f>M358</f>
        <v>NESS</v>
      </c>
    </row>
    <row r="454" spans="2:13" ht="8.25" customHeight="1">
      <c r="E454" s="12"/>
      <c r="F454" s="12"/>
      <c r="G454" s="12"/>
      <c r="H454" s="12"/>
      <c r="I454" s="12"/>
      <c r="J454" s="12"/>
      <c r="K454" s="13"/>
      <c r="L454" s="13"/>
      <c r="M454" s="12"/>
    </row>
    <row r="455" spans="2:13">
      <c r="B455" s="12" t="str">
        <f>B6</f>
        <v>2011-2012</v>
      </c>
      <c r="C455" s="12"/>
      <c r="D455" s="12"/>
      <c r="E455" s="12"/>
      <c r="F455" s="12"/>
      <c r="G455" s="12"/>
      <c r="H455" s="12"/>
      <c r="I455" s="12"/>
      <c r="J455" s="12"/>
      <c r="K455" s="12"/>
      <c r="L455" s="12"/>
      <c r="M455" s="12"/>
    </row>
    <row r="456" spans="2:13">
      <c r="B456" s="12" t="s">
        <v>155</v>
      </c>
      <c r="C456" s="12"/>
      <c r="D456" s="12"/>
      <c r="E456" s="12"/>
      <c r="F456" s="12"/>
      <c r="G456" s="12"/>
      <c r="H456" s="12"/>
      <c r="I456" s="12"/>
      <c r="J456" s="12"/>
      <c r="K456" s="12"/>
      <c r="L456" s="12"/>
      <c r="M456" s="12"/>
    </row>
    <row r="457" spans="2:13">
      <c r="B457" s="12" t="s">
        <v>156</v>
      </c>
      <c r="C457" s="12"/>
      <c r="D457" s="12"/>
      <c r="E457" s="12"/>
      <c r="F457" s="12"/>
      <c r="G457" s="12"/>
      <c r="H457" s="12"/>
      <c r="I457" s="12"/>
      <c r="J457" s="12"/>
      <c r="K457" s="12"/>
      <c r="L457" s="12"/>
      <c r="M457" s="12"/>
    </row>
    <row r="458" spans="2:13" ht="15">
      <c r="B458" s="14" t="s">
        <v>157</v>
      </c>
      <c r="C458" s="14"/>
      <c r="D458" s="14"/>
      <c r="E458" s="12"/>
      <c r="F458" s="12"/>
      <c r="G458" s="12"/>
      <c r="H458" s="12"/>
      <c r="I458" s="12"/>
      <c r="J458" s="12"/>
      <c r="K458" s="12"/>
      <c r="L458" s="12"/>
      <c r="M458" s="12"/>
    </row>
    <row r="459" spans="2:13" ht="8.25" customHeight="1">
      <c r="E459" s="10"/>
      <c r="F459" s="10"/>
      <c r="G459" s="10"/>
      <c r="H459" s="10"/>
      <c r="I459" s="10"/>
      <c r="J459" s="10"/>
      <c r="K459" s="10"/>
      <c r="L459" s="10"/>
      <c r="M459" s="10"/>
    </row>
    <row r="460" spans="2:13" ht="15">
      <c r="E460" s="10" t="s">
        <v>338</v>
      </c>
      <c r="F460" s="10"/>
      <c r="G460" s="10" t="s">
        <v>180</v>
      </c>
      <c r="H460" s="10"/>
      <c r="I460" s="10" t="s">
        <v>339</v>
      </c>
      <c r="J460" s="10"/>
      <c r="K460" s="10" t="s">
        <v>340</v>
      </c>
      <c r="L460" s="10"/>
      <c r="M460" s="10" t="s">
        <v>341</v>
      </c>
    </row>
    <row r="461" spans="2:13" ht="15">
      <c r="E461" s="10" t="s">
        <v>342</v>
      </c>
      <c r="F461" s="10"/>
      <c r="G461" s="10" t="s">
        <v>343</v>
      </c>
      <c r="H461" s="10"/>
      <c r="I461" s="10" t="s">
        <v>344</v>
      </c>
      <c r="J461" s="10"/>
      <c r="K461" s="10" t="s">
        <v>345</v>
      </c>
      <c r="L461" s="10"/>
      <c r="M461" s="10" t="s">
        <v>346</v>
      </c>
    </row>
    <row r="462" spans="2:13" ht="7.5" customHeight="1"/>
    <row r="463" spans="2:13">
      <c r="B463" s="1" t="str">
        <f>B15</f>
        <v>1.  County Treasurer Balance 6/30/2011 *</v>
      </c>
      <c r="E463" s="52"/>
      <c r="F463" s="46"/>
      <c r="G463" s="52"/>
      <c r="H463" s="46"/>
      <c r="I463" s="52"/>
      <c r="J463" s="46"/>
      <c r="K463" s="52"/>
      <c r="M463" s="52"/>
    </row>
    <row r="464" spans="2:13" ht="7.5" customHeight="1">
      <c r="B464" s="17"/>
      <c r="C464" s="17"/>
      <c r="D464" s="17"/>
      <c r="E464" s="53"/>
      <c r="F464" s="53"/>
      <c r="G464" s="53"/>
      <c r="H464" s="53"/>
      <c r="I464" s="53"/>
      <c r="J464" s="53"/>
      <c r="K464" s="53"/>
      <c r="M464" s="53"/>
    </row>
    <row r="465" spans="2:13">
      <c r="B465" s="1" t="str">
        <f>B17</f>
        <v>2.  2010 Actual Taxes Levied*</v>
      </c>
      <c r="E465" s="52"/>
      <c r="F465" s="46"/>
      <c r="G465" s="52"/>
      <c r="H465" s="46"/>
      <c r="I465" s="52"/>
      <c r="J465" s="46"/>
      <c r="K465" s="52"/>
      <c r="M465" s="52"/>
    </row>
    <row r="466" spans="2:13" ht="6.75" customHeight="1">
      <c r="E466" s="46"/>
      <c r="F466" s="46"/>
      <c r="G466" s="46"/>
      <c r="H466" s="46"/>
      <c r="I466" s="46"/>
      <c r="J466" s="46"/>
      <c r="K466" s="46"/>
      <c r="M466" s="46"/>
    </row>
    <row r="467" spans="2:13">
      <c r="B467" s="1" t="s">
        <v>330</v>
      </c>
      <c r="C467" s="33">
        <f>C374</f>
        <v>0</v>
      </c>
      <c r="D467" s="40"/>
      <c r="E467" s="15">
        <f>E465*$C$467/100</f>
        <v>0</v>
      </c>
      <c r="F467" s="15"/>
      <c r="G467" s="15">
        <f>G465*$C$467/100</f>
        <v>0</v>
      </c>
      <c r="H467" s="15"/>
      <c r="I467" s="15">
        <f>I465*$C$467/100</f>
        <v>0</v>
      </c>
      <c r="J467" s="15"/>
      <c r="K467" s="15">
        <f>K465*$C$467/100</f>
        <v>0</v>
      </c>
      <c r="L467" s="15"/>
      <c r="M467" s="15">
        <f>M465*$C$467/100</f>
        <v>0</v>
      </c>
    </row>
    <row r="468" spans="2:13" ht="6.75" customHeight="1">
      <c r="E468" s="46"/>
      <c r="F468" s="46"/>
      <c r="G468" s="46"/>
      <c r="H468" s="46"/>
      <c r="I468" s="46"/>
      <c r="J468" s="46"/>
      <c r="K468" s="46"/>
      <c r="M468" s="46"/>
    </row>
    <row r="469" spans="2:13">
      <c r="B469" s="1" t="str">
        <f>B21</f>
        <v>4.  Less:  Jan. 20, 2011 Taxes received**</v>
      </c>
      <c r="E469" s="52"/>
      <c r="F469" s="46"/>
      <c r="G469" s="52"/>
      <c r="H469" s="46"/>
      <c r="I469" s="52"/>
      <c r="J469" s="46"/>
      <c r="K469" s="52"/>
      <c r="M469" s="52"/>
    </row>
    <row r="470" spans="2:13" ht="8.25" customHeight="1">
      <c r="E470" s="16"/>
      <c r="F470" s="46"/>
      <c r="G470" s="46"/>
      <c r="H470" s="46"/>
      <c r="I470" s="46"/>
      <c r="J470" s="46"/>
      <c r="K470" s="46"/>
      <c r="M470" s="46"/>
    </row>
    <row r="471" spans="2:13">
      <c r="B471" s="1" t="str">
        <f>B23</f>
        <v>5.  Less:  Mar. 20, 2011  Taxes received**</v>
      </c>
      <c r="E471" s="52"/>
      <c r="F471" s="46"/>
      <c r="G471" s="52"/>
      <c r="H471" s="46"/>
      <c r="I471" s="52"/>
      <c r="J471" s="46"/>
      <c r="K471" s="52"/>
      <c r="M471" s="52"/>
    </row>
    <row r="472" spans="2:13" ht="7.5" customHeight="1">
      <c r="E472" s="56"/>
      <c r="F472" s="46"/>
      <c r="G472" s="56"/>
      <c r="H472" s="46"/>
      <c r="I472" s="56"/>
      <c r="J472" s="46"/>
      <c r="K472" s="56"/>
      <c r="M472" s="56"/>
    </row>
    <row r="473" spans="2:13">
      <c r="B473" s="1" t="str">
        <f>B25</f>
        <v>6.  Less:  June 5,  2011 Taxes received**</v>
      </c>
      <c r="E473" s="52"/>
      <c r="F473" s="46"/>
      <c r="G473" s="52"/>
      <c r="H473" s="46"/>
      <c r="I473" s="52"/>
      <c r="J473" s="46"/>
      <c r="K473" s="52"/>
      <c r="M473" s="52"/>
    </row>
    <row r="474" spans="2:13" ht="9" customHeight="1">
      <c r="E474" s="56"/>
      <c r="F474" s="46"/>
      <c r="G474" s="56"/>
      <c r="H474" s="46"/>
      <c r="I474" s="56"/>
      <c r="J474" s="46"/>
      <c r="K474" s="56"/>
      <c r="M474" s="56"/>
    </row>
    <row r="475" spans="2:13">
      <c r="B475" s="1" t="s">
        <v>286</v>
      </c>
      <c r="E475" s="52"/>
      <c r="F475" s="46"/>
      <c r="G475" s="52"/>
      <c r="H475" s="46"/>
      <c r="I475" s="52"/>
      <c r="J475" s="46"/>
      <c r="K475" s="52"/>
      <c r="M475" s="52"/>
    </row>
    <row r="476" spans="2:13" ht="8.25" customHeight="1">
      <c r="E476" s="46"/>
      <c r="F476" s="46"/>
      <c r="G476" s="46"/>
      <c r="H476" s="46"/>
      <c r="I476" s="46"/>
      <c r="J476" s="46"/>
      <c r="K476" s="46"/>
      <c r="M476" s="46"/>
    </row>
    <row r="477" spans="2:13">
      <c r="B477" s="1" t="s">
        <v>165</v>
      </c>
      <c r="E477" s="52"/>
      <c r="F477" s="46"/>
      <c r="G477" s="52"/>
      <c r="H477" s="46"/>
      <c r="I477" s="52"/>
      <c r="J477" s="46"/>
      <c r="K477" s="52"/>
      <c r="M477" s="52"/>
    </row>
    <row r="478" spans="2:13">
      <c r="B478" s="1" t="s">
        <v>166</v>
      </c>
      <c r="E478" s="58"/>
      <c r="F478" s="46"/>
      <c r="G478" s="58"/>
      <c r="H478" s="46"/>
      <c r="I478" s="58"/>
      <c r="J478" s="46"/>
      <c r="K478" s="58"/>
      <c r="M478" s="58"/>
    </row>
    <row r="479" spans="2:13">
      <c r="B479" s="1" t="s">
        <v>331</v>
      </c>
      <c r="E479" s="15">
        <f>SUM(E467:E478)</f>
        <v>0</v>
      </c>
      <c r="F479" s="21"/>
      <c r="G479" s="15">
        <f>SUM(G467:G478)</f>
        <v>0</v>
      </c>
      <c r="H479" s="21"/>
      <c r="I479" s="15">
        <f>SUM(I467:I478)</f>
        <v>0</v>
      </c>
      <c r="J479" s="21"/>
      <c r="K479" s="15">
        <f>SUM(K467:K478)</f>
        <v>0</v>
      </c>
      <c r="L479" s="40"/>
      <c r="M479" s="15">
        <f>SUM(M467:M478)</f>
        <v>0</v>
      </c>
    </row>
    <row r="480" spans="2:13" ht="8.25" customHeight="1">
      <c r="E480" s="16"/>
      <c r="F480" s="16"/>
      <c r="G480" s="16"/>
      <c r="H480" s="16"/>
      <c r="I480" s="16"/>
      <c r="J480" s="16"/>
      <c r="K480" s="16"/>
      <c r="L480" s="40"/>
      <c r="M480" s="16"/>
    </row>
    <row r="481" spans="2:14">
      <c r="B481" s="1" t="str">
        <f>B33</f>
        <v>11. 2010 taxes receivable (taxes in process</v>
      </c>
      <c r="E481" s="16"/>
      <c r="F481" s="16"/>
      <c r="G481" s="16"/>
      <c r="H481" s="16"/>
      <c r="I481" s="16"/>
      <c r="J481" s="16"/>
      <c r="K481" s="16"/>
      <c r="L481" s="40"/>
      <c r="M481" s="16"/>
    </row>
    <row r="482" spans="2:14">
      <c r="B482" s="1" t="str">
        <f>B34</f>
        <v xml:space="preserve">     of collection 6/30/2011)(Line 2 less Line 10)</v>
      </c>
      <c r="E482" s="15">
        <f>IF(E479&lt;=0,0,E465-E479)</f>
        <v>0</v>
      </c>
      <c r="F482" s="21"/>
      <c r="G482" s="15">
        <f>IF(G479&lt;=0,0,G465-G479)</f>
        <v>0</v>
      </c>
      <c r="H482" s="21"/>
      <c r="I482" s="15">
        <f>IF(I479&lt;=0,0,I465-I479)</f>
        <v>0</v>
      </c>
      <c r="J482" s="21"/>
      <c r="K482" s="15">
        <f>IF(K479&lt;=0,0,K465-K479)</f>
        <v>0</v>
      </c>
      <c r="L482" s="21"/>
      <c r="M482" s="15">
        <f>IF(M479&lt;=0,0,M465-M479)</f>
        <v>0</v>
      </c>
    </row>
    <row r="483" spans="2:14" ht="7.5" customHeight="1">
      <c r="E483" s="16"/>
      <c r="F483" s="16"/>
      <c r="G483" s="16"/>
      <c r="H483" s="16"/>
      <c r="I483" s="16"/>
      <c r="J483" s="16"/>
      <c r="K483" s="16"/>
      <c r="L483" s="40"/>
      <c r="M483" s="16"/>
    </row>
    <row r="484" spans="2:14">
      <c r="B484" s="1" t="s">
        <v>236</v>
      </c>
      <c r="E484" s="16"/>
      <c r="F484" s="16"/>
      <c r="G484" s="16"/>
      <c r="H484" s="16"/>
      <c r="I484" s="16"/>
      <c r="J484" s="16"/>
      <c r="K484" s="16"/>
      <c r="L484" s="40"/>
      <c r="M484" s="16"/>
    </row>
    <row r="485" spans="2:14">
      <c r="B485" s="1" t="s">
        <v>289</v>
      </c>
      <c r="E485" s="16"/>
      <c r="F485" s="16"/>
      <c r="G485" s="16"/>
      <c r="H485" s="16"/>
      <c r="I485" s="16"/>
      <c r="J485" s="16"/>
      <c r="K485" s="16"/>
      <c r="L485" s="40"/>
      <c r="M485" s="16"/>
    </row>
    <row r="486" spans="2:14">
      <c r="B486" s="1" t="str">
        <f>B38</f>
        <v xml:space="preserve">     (7-1-2011 to 12-31-2012) (Line 3 x 75%)</v>
      </c>
      <c r="E486" s="15">
        <f>SUM(E467*0.75)</f>
        <v>0</v>
      </c>
      <c r="F486" s="21"/>
      <c r="G486" s="15">
        <f>SUM(G467*0.75)</f>
        <v>0</v>
      </c>
      <c r="H486" s="21"/>
      <c r="I486" s="15">
        <f>SUM(I467*0.75)</f>
        <v>0</v>
      </c>
      <c r="J486" s="21"/>
      <c r="K486" s="15">
        <f>SUM(K467*0.75)</f>
        <v>0</v>
      </c>
      <c r="L486" s="40"/>
      <c r="M486" s="15">
        <f>SUM(M467*0.75)</f>
        <v>0</v>
      </c>
    </row>
    <row r="487" spans="2:14" ht="9" customHeight="1">
      <c r="E487" s="40"/>
      <c r="F487" s="40"/>
      <c r="G487" s="40"/>
      <c r="H487" s="40"/>
      <c r="I487" s="40"/>
      <c r="J487" s="40"/>
      <c r="K487" s="40"/>
      <c r="L487" s="40"/>
      <c r="M487" s="40"/>
    </row>
    <row r="488" spans="2:14" ht="15">
      <c r="B488" s="35" t="str">
        <f>B40</f>
        <v>Tax Collection Ratio (Jan, Mar, June)</v>
      </c>
      <c r="E488" s="51">
        <f>IF(E465&lt;&gt;0,(E469+E471+E473+E475+E477)/E465*100,0)</f>
        <v>0</v>
      </c>
      <c r="F488" s="26" t="s">
        <v>290</v>
      </c>
      <c r="G488" s="51">
        <f>IF(G465&lt;&gt;0,(G469+G471+G473+G475+G477)/G465*100,0)</f>
        <v>0</v>
      </c>
      <c r="H488" s="26" t="s">
        <v>290</v>
      </c>
      <c r="I488" s="51">
        <f>IF(I465&lt;&gt;0,(I469+I471+I473+I475+I477)/I465*100,0)</f>
        <v>0</v>
      </c>
      <c r="J488" s="26" t="s">
        <v>290</v>
      </c>
      <c r="K488" s="51">
        <f>IF(K465&lt;&gt;0,(K469+K471+K473+K475+K477)/K465*100,0)</f>
        <v>0</v>
      </c>
      <c r="L488" s="26" t="s">
        <v>290</v>
      </c>
      <c r="M488" s="51">
        <f>IF(M465&lt;&gt;0,(M469+M471+M473+M475+M477)/M465*100,0)</f>
        <v>0</v>
      </c>
      <c r="N488" s="24" t="s">
        <v>290</v>
      </c>
    </row>
    <row r="489" spans="2:14" ht="11.25" customHeight="1"/>
    <row r="490" spans="2:14">
      <c r="B490" s="1" t="str">
        <f>B98</f>
        <v>*Amounts are available from the County Treasurer.       **These Jan.-June, 2011 amounts are available from the County Treasurer.  (Does not</v>
      </c>
    </row>
    <row r="491" spans="2:14">
      <c r="B491" s="1" t="str">
        <f>B99</f>
        <v xml:space="preserve"> include MVPT.  Should correspond to school records.)</v>
      </c>
    </row>
    <row r="492" spans="2:14" ht="15">
      <c r="B492" s="1" t="s">
        <v>148</v>
      </c>
      <c r="M492" s="2" t="s">
        <v>347</v>
      </c>
    </row>
    <row r="493" spans="2:14">
      <c r="B493" s="3">
        <f>B2</f>
        <v>40664</v>
      </c>
      <c r="C493" s="4"/>
      <c r="D493" s="4"/>
      <c r="G493" s="6" t="s">
        <v>150</v>
      </c>
      <c r="H493" s="6"/>
      <c r="I493" s="8" t="str">
        <f>I357</f>
        <v>395 - LaCrosse</v>
      </c>
      <c r="J493" s="8"/>
      <c r="K493" s="8"/>
      <c r="L493" s="6" t="s">
        <v>151</v>
      </c>
      <c r="M493" s="9">
        <f>M2</f>
        <v>395</v>
      </c>
    </row>
    <row r="494" spans="2:14">
      <c r="K494" s="6" t="s">
        <v>153</v>
      </c>
      <c r="M494" s="8" t="str">
        <f>M358</f>
        <v>NESS</v>
      </c>
    </row>
    <row r="495" spans="2:14" ht="6.75" customHeight="1">
      <c r="E495" s="12"/>
      <c r="F495" s="12"/>
      <c r="G495" s="12"/>
      <c r="H495" s="12"/>
      <c r="I495" s="12"/>
      <c r="J495" s="12"/>
      <c r="K495" s="13"/>
      <c r="L495" s="13"/>
      <c r="M495" s="12"/>
    </row>
    <row r="496" spans="2:14">
      <c r="B496" s="12" t="str">
        <f>B6</f>
        <v>2011-2012</v>
      </c>
      <c r="C496" s="12"/>
      <c r="D496" s="12"/>
      <c r="E496" s="12"/>
      <c r="F496" s="12"/>
      <c r="G496" s="12"/>
      <c r="H496" s="12"/>
      <c r="I496" s="12"/>
      <c r="J496" s="12"/>
      <c r="K496" s="12"/>
      <c r="L496" s="12"/>
      <c r="M496" s="12"/>
    </row>
    <row r="497" spans="2:15">
      <c r="B497" s="12" t="s">
        <v>155</v>
      </c>
      <c r="C497" s="12"/>
      <c r="D497" s="12"/>
      <c r="E497" s="12"/>
      <c r="F497" s="12"/>
      <c r="G497" s="12"/>
      <c r="H497" s="12"/>
      <c r="I497" s="12"/>
      <c r="J497" s="12"/>
      <c r="K497" s="12"/>
      <c r="L497" s="12"/>
      <c r="M497" s="12"/>
    </row>
    <row r="498" spans="2:15">
      <c r="B498" s="12" t="s">
        <v>156</v>
      </c>
      <c r="C498" s="12"/>
      <c r="D498" s="12"/>
      <c r="E498" s="12"/>
      <c r="F498" s="12"/>
      <c r="G498" s="12"/>
      <c r="H498" s="12"/>
      <c r="I498" s="12"/>
      <c r="J498" s="12"/>
      <c r="K498" s="12"/>
      <c r="L498" s="12"/>
      <c r="M498" s="12"/>
    </row>
    <row r="499" spans="2:15" ht="15">
      <c r="B499" s="14" t="s">
        <v>157</v>
      </c>
      <c r="C499" s="14"/>
      <c r="D499" s="14"/>
      <c r="E499" s="12"/>
      <c r="F499" s="12"/>
      <c r="G499" s="12"/>
      <c r="H499" s="12"/>
      <c r="I499" s="12"/>
      <c r="J499" s="12"/>
      <c r="K499" s="12"/>
      <c r="L499" s="12"/>
      <c r="M499" s="12"/>
    </row>
    <row r="500" spans="2:15" ht="6.75" customHeight="1">
      <c r="E500" s="10"/>
      <c r="F500" s="10"/>
      <c r="G500" s="10"/>
      <c r="H500" s="10"/>
      <c r="I500" s="10"/>
      <c r="J500" s="10"/>
      <c r="K500" s="10"/>
      <c r="L500" s="10"/>
      <c r="M500" s="10"/>
    </row>
    <row r="501" spans="2:15" ht="15">
      <c r="E501" s="465"/>
      <c r="F501" s="10"/>
      <c r="G501" s="10" t="str">
        <f>G150</f>
        <v>Rec. Comm</v>
      </c>
      <c r="H501" s="10"/>
      <c r="I501" s="10" t="s">
        <v>348</v>
      </c>
      <c r="J501" s="10"/>
      <c r="K501" s="35" t="s">
        <v>349</v>
      </c>
      <c r="L501" s="10"/>
      <c r="M501" s="40"/>
    </row>
    <row r="502" spans="2:15" ht="15">
      <c r="E502" s="466" t="s">
        <v>188</v>
      </c>
      <c r="F502" s="10"/>
      <c r="G502" s="10" t="str">
        <f>G151</f>
        <v>Emp Benef</v>
      </c>
      <c r="H502" s="10"/>
      <c r="I502" s="10" t="s">
        <v>350</v>
      </c>
      <c r="J502" s="10"/>
      <c r="K502" s="10" t="s">
        <v>351</v>
      </c>
      <c r="L502" s="10"/>
      <c r="M502" s="466" t="s">
        <v>439</v>
      </c>
    </row>
    <row r="503" spans="2:15" ht="15">
      <c r="E503" s="466" t="s">
        <v>89</v>
      </c>
      <c r="G503" s="10" t="str">
        <f>G152</f>
        <v>&amp; Spec Liab</v>
      </c>
      <c r="I503" s="10" t="s">
        <v>352</v>
      </c>
      <c r="K503" s="10" t="s">
        <v>353</v>
      </c>
      <c r="M503" s="466" t="s">
        <v>440</v>
      </c>
    </row>
    <row r="504" spans="2:15" ht="6" customHeight="1">
      <c r="G504" s="35"/>
    </row>
    <row r="505" spans="2:15">
      <c r="B505" s="1" t="str">
        <f>B15</f>
        <v>1.  County Treasurer Balance 6/30/2011 *</v>
      </c>
      <c r="E505" s="488"/>
      <c r="F505" s="46"/>
      <c r="G505" s="52"/>
      <c r="H505" s="46"/>
      <c r="I505" s="52"/>
      <c r="J505" s="46"/>
      <c r="K505" s="52"/>
      <c r="M505" s="488"/>
    </row>
    <row r="506" spans="2:15" ht="7.5" customHeight="1">
      <c r="B506" s="17"/>
      <c r="C506" s="17"/>
      <c r="D506" s="17"/>
      <c r="E506" s="53"/>
      <c r="F506" s="53"/>
      <c r="G506" s="53"/>
      <c r="H506" s="53"/>
      <c r="I506" s="53"/>
      <c r="J506" s="53"/>
      <c r="K506" s="53"/>
      <c r="M506" s="53"/>
    </row>
    <row r="507" spans="2:15">
      <c r="B507" s="1" t="str">
        <f>B17</f>
        <v>2.  2010 Actual Taxes Levied*</v>
      </c>
      <c r="E507" s="488"/>
      <c r="F507" s="46"/>
      <c r="G507" s="52"/>
      <c r="H507" s="46"/>
      <c r="I507" s="52"/>
      <c r="J507" s="46"/>
      <c r="K507" s="52"/>
      <c r="M507" s="488"/>
    </row>
    <row r="508" spans="2:15" ht="7.5" customHeight="1">
      <c r="E508" s="46"/>
      <c r="F508" s="46"/>
      <c r="G508" s="46"/>
      <c r="H508" s="46"/>
      <c r="I508" s="46"/>
      <c r="J508" s="46"/>
      <c r="K508" s="46"/>
      <c r="M508" s="46"/>
      <c r="O508" s="470"/>
    </row>
    <row r="509" spans="2:15">
      <c r="B509" s="1" t="s">
        <v>330</v>
      </c>
      <c r="C509" s="33">
        <f>C374</f>
        <v>0</v>
      </c>
      <c r="D509" s="40"/>
      <c r="E509" s="469">
        <f>E507*$C$509/100</f>
        <v>0</v>
      </c>
      <c r="F509" s="15"/>
      <c r="G509" s="15">
        <f>G507*$C$509/100</f>
        <v>0</v>
      </c>
      <c r="H509" s="15"/>
      <c r="I509" s="15">
        <f>I507*$C$509/100</f>
        <v>0</v>
      </c>
      <c r="J509" s="15"/>
      <c r="K509" s="15">
        <f>K507*$C$509/100</f>
        <v>0</v>
      </c>
      <c r="L509" s="15"/>
      <c r="M509" s="15">
        <f>M507*$C$509/100</f>
        <v>0</v>
      </c>
    </row>
    <row r="510" spans="2:15" ht="7.5" customHeight="1">
      <c r="E510" s="46"/>
      <c r="F510" s="46"/>
      <c r="G510" s="46"/>
      <c r="H510" s="46"/>
      <c r="I510" s="46"/>
      <c r="J510" s="46"/>
      <c r="K510" s="46"/>
      <c r="M510" s="46"/>
    </row>
    <row r="511" spans="2:15">
      <c r="B511" s="1" t="str">
        <f>B21</f>
        <v>4.  Less:  Jan. 20, 2011 Taxes received**</v>
      </c>
      <c r="E511" s="488"/>
      <c r="F511" s="46"/>
      <c r="G511" s="52"/>
      <c r="H511" s="46"/>
      <c r="I511" s="52"/>
      <c r="J511" s="46"/>
      <c r="K511" s="52"/>
      <c r="M511" s="488"/>
    </row>
    <row r="512" spans="2:15" ht="8.25" customHeight="1">
      <c r="E512" s="46"/>
      <c r="F512" s="46"/>
      <c r="G512" s="46"/>
      <c r="H512" s="46"/>
      <c r="I512" s="46"/>
      <c r="J512" s="46"/>
      <c r="K512" s="46"/>
      <c r="M512" s="46"/>
    </row>
    <row r="513" spans="2:13">
      <c r="B513" s="1" t="str">
        <f>B23</f>
        <v>5.  Less:  Mar. 20, 2011  Taxes received**</v>
      </c>
      <c r="E513" s="488"/>
      <c r="F513" s="46"/>
      <c r="G513" s="52"/>
      <c r="H513" s="46"/>
      <c r="I513" s="52"/>
      <c r="J513" s="46"/>
      <c r="K513" s="52"/>
      <c r="M513" s="488"/>
    </row>
    <row r="514" spans="2:13" ht="8.25" customHeight="1">
      <c r="E514" s="56"/>
      <c r="F514" s="46"/>
      <c r="G514" s="56"/>
      <c r="H514" s="46"/>
      <c r="I514" s="56"/>
      <c r="J514" s="46"/>
      <c r="K514" s="56"/>
      <c r="M514" s="56"/>
    </row>
    <row r="515" spans="2:13">
      <c r="B515" s="1" t="str">
        <f>B25</f>
        <v>6.  Less:  June 5,  2011 Taxes received**</v>
      </c>
      <c r="E515" s="488"/>
      <c r="F515" s="46"/>
      <c r="G515" s="52"/>
      <c r="H515" s="46"/>
      <c r="I515" s="52"/>
      <c r="J515" s="46"/>
      <c r="K515" s="52"/>
      <c r="M515" s="488"/>
    </row>
    <row r="516" spans="2:13" ht="8.25" customHeight="1">
      <c r="E516" s="21"/>
      <c r="F516" s="46"/>
      <c r="G516" s="21"/>
      <c r="H516" s="46"/>
      <c r="I516" s="56"/>
      <c r="J516" s="46"/>
      <c r="K516" s="56"/>
      <c r="M516" s="56"/>
    </row>
    <row r="517" spans="2:13">
      <c r="B517" s="1" t="s">
        <v>286</v>
      </c>
      <c r="E517" s="488"/>
      <c r="F517" s="46"/>
      <c r="G517" s="52"/>
      <c r="H517" s="46"/>
      <c r="I517" s="52"/>
      <c r="J517" s="46"/>
      <c r="K517" s="52"/>
      <c r="M517" s="488"/>
    </row>
    <row r="518" spans="2:13" ht="8.25" customHeight="1">
      <c r="E518" s="46"/>
      <c r="F518" s="46"/>
      <c r="G518" s="46"/>
      <c r="H518" s="46"/>
      <c r="I518" s="46"/>
      <c r="J518" s="46"/>
      <c r="K518" s="46"/>
      <c r="M518" s="46"/>
    </row>
    <row r="519" spans="2:13">
      <c r="B519" s="1" t="s">
        <v>165</v>
      </c>
      <c r="E519" s="488"/>
      <c r="F519" s="46"/>
      <c r="G519" s="52"/>
      <c r="H519" s="46"/>
      <c r="I519" s="52"/>
      <c r="J519" s="46"/>
      <c r="K519" s="52"/>
      <c r="M519" s="488"/>
    </row>
    <row r="520" spans="2:13">
      <c r="B520" s="1" t="s">
        <v>166</v>
      </c>
      <c r="E520" s="489"/>
      <c r="F520" s="46"/>
      <c r="G520" s="54"/>
      <c r="H520" s="46"/>
      <c r="I520" s="54"/>
      <c r="J520" s="46"/>
      <c r="K520" s="54"/>
      <c r="M520" s="489"/>
    </row>
    <row r="521" spans="2:13">
      <c r="B521" s="1" t="s">
        <v>331</v>
      </c>
      <c r="E521" s="469">
        <f>SUM(E509:E520)</f>
        <v>0</v>
      </c>
      <c r="F521" s="21"/>
      <c r="G521" s="15">
        <f>SUM(G509:G520)</f>
        <v>0</v>
      </c>
      <c r="H521" s="21"/>
      <c r="I521" s="15">
        <f>SUM(I509:I520)</f>
        <v>0</v>
      </c>
      <c r="J521" s="21"/>
      <c r="K521" s="15">
        <f>SUM(K509:K520)</f>
        <v>0</v>
      </c>
      <c r="L521" s="40"/>
      <c r="M521" s="15">
        <f>SUM(M509:M520)</f>
        <v>0</v>
      </c>
    </row>
    <row r="522" spans="2:13" ht="7.5" customHeight="1">
      <c r="E522" s="16"/>
      <c r="F522" s="16"/>
      <c r="G522" s="16"/>
      <c r="H522" s="16"/>
      <c r="I522" s="16"/>
      <c r="J522" s="16"/>
      <c r="K522" s="16"/>
      <c r="L522" s="40"/>
      <c r="M522" s="16"/>
    </row>
    <row r="523" spans="2:13">
      <c r="B523" s="1" t="str">
        <f>B33</f>
        <v>11. 2010 taxes receivable (taxes in process</v>
      </c>
      <c r="E523" s="16"/>
      <c r="F523" s="16"/>
      <c r="G523" s="16"/>
      <c r="H523" s="16"/>
      <c r="I523" s="16"/>
      <c r="J523" s="16"/>
      <c r="K523" s="16"/>
      <c r="L523" s="40"/>
      <c r="M523" s="16"/>
    </row>
    <row r="524" spans="2:13">
      <c r="B524" s="1" t="str">
        <f>B34</f>
        <v xml:space="preserve">     of collection 6/30/2011)(Line 2 less Line 10)</v>
      </c>
      <c r="E524" s="469">
        <f>IF(E521&lt;=0,0,E507-E521)</f>
        <v>0</v>
      </c>
      <c r="F524" s="21"/>
      <c r="G524" s="15">
        <f>IF(G521&lt;=0,0,G507-G521)</f>
        <v>0</v>
      </c>
      <c r="H524" s="21"/>
      <c r="I524" s="15">
        <f>IF(I521&lt;=0,0,I507-I521)</f>
        <v>0</v>
      </c>
      <c r="J524" s="21"/>
      <c r="K524" s="15">
        <f>IF(K521&lt;=0,0,K507-K521)</f>
        <v>0</v>
      </c>
      <c r="L524" s="21"/>
      <c r="M524" s="15">
        <f>IF(M521&lt;=0,0,M507-M521)</f>
        <v>0</v>
      </c>
    </row>
    <row r="525" spans="2:13" ht="7.5" customHeight="1">
      <c r="E525" s="16"/>
      <c r="F525" s="16"/>
      <c r="G525" s="16"/>
      <c r="H525" s="16"/>
      <c r="I525" s="16"/>
      <c r="J525" s="16"/>
      <c r="K525" s="16"/>
      <c r="L525" s="40"/>
      <c r="M525" s="16"/>
    </row>
    <row r="526" spans="2:13">
      <c r="B526" s="1" t="s">
        <v>236</v>
      </c>
      <c r="E526" s="16"/>
      <c r="F526" s="16"/>
      <c r="G526" s="16"/>
      <c r="H526" s="16"/>
      <c r="I526" s="16"/>
      <c r="J526" s="16"/>
      <c r="K526" s="16"/>
      <c r="L526" s="40"/>
      <c r="M526" s="16"/>
    </row>
    <row r="527" spans="2:13">
      <c r="B527" s="1" t="s">
        <v>289</v>
      </c>
      <c r="E527" s="16"/>
      <c r="F527" s="16"/>
      <c r="G527" s="16"/>
      <c r="H527" s="16"/>
      <c r="I527" s="16"/>
      <c r="J527" s="16"/>
      <c r="K527" s="16"/>
      <c r="L527" s="40"/>
      <c r="M527" s="16"/>
    </row>
    <row r="528" spans="2:13">
      <c r="B528" s="1" t="str">
        <f>B38</f>
        <v xml:space="preserve">     (7-1-2011 to 12-31-2012) (Line 3 x 75%)</v>
      </c>
      <c r="E528" s="469">
        <f>SUM(E509*0.75)</f>
        <v>0</v>
      </c>
      <c r="F528" s="21"/>
      <c r="G528" s="15">
        <f>SUM(G509*0.75)</f>
        <v>0</v>
      </c>
      <c r="H528" s="21"/>
      <c r="I528" s="15">
        <f>SUM(I509*0.75)</f>
        <v>0</v>
      </c>
      <c r="J528" s="21"/>
      <c r="K528" s="15">
        <f>SUM(K509*0.75)</f>
        <v>0</v>
      </c>
      <c r="L528" s="40"/>
      <c r="M528" s="15">
        <f>SUM(M509*0.75)</f>
        <v>0</v>
      </c>
    </row>
    <row r="529" spans="2:14" ht="7.5" customHeight="1">
      <c r="E529" s="40"/>
      <c r="F529" s="40"/>
      <c r="G529" s="40"/>
      <c r="H529" s="40"/>
      <c r="I529" s="40"/>
      <c r="J529" s="40"/>
      <c r="K529" s="40"/>
      <c r="L529" s="40"/>
      <c r="M529" s="40"/>
    </row>
    <row r="530" spans="2:14" ht="15">
      <c r="B530" s="35" t="str">
        <f>B40</f>
        <v>Tax Collection Ratio (Jan, Mar, June)</v>
      </c>
      <c r="E530" s="51">
        <f>IF(E507&lt;&gt;0,(E511+E513+E515+E517+E519)/E507*100,0)</f>
        <v>0</v>
      </c>
      <c r="F530" s="26" t="s">
        <v>290</v>
      </c>
      <c r="G530" s="51">
        <f>IF(G507&lt;&gt;0,(G511+G513+G515+G517+G519)/G507*100,0)</f>
        <v>0</v>
      </c>
      <c r="H530" s="26" t="s">
        <v>290</v>
      </c>
      <c r="I530" s="51">
        <f>IF(I507&lt;&gt;0,(I511+I513+I515+I517+I519)/I507*100,0)</f>
        <v>0</v>
      </c>
      <c r="J530" s="26" t="s">
        <v>290</v>
      </c>
      <c r="K530" s="51">
        <f>IF(K507&lt;&gt;0,(K511+K513+K515+K517+K519)/K507*100,0)</f>
        <v>0</v>
      </c>
      <c r="L530" s="26" t="s">
        <v>290</v>
      </c>
      <c r="M530" s="51">
        <f>IF(M507&lt;&gt;0,(M511+M513+M515+M517+M519)/M507*100,0)</f>
        <v>0</v>
      </c>
      <c r="N530" s="24" t="s">
        <v>290</v>
      </c>
    </row>
    <row r="531" spans="2:14" ht="6" customHeight="1"/>
    <row r="532" spans="2:14">
      <c r="B532" s="1" t="str">
        <f>B98</f>
        <v>*Amounts are available from the County Treasurer.       **These Jan.-June, 2011 amounts are available from the County Treasurer.  (Does not</v>
      </c>
    </row>
    <row r="533" spans="2:14">
      <c r="B533" s="1" t="str">
        <f>B99</f>
        <v xml:space="preserve"> include MVPT.  Should correspond to school records.)</v>
      </c>
    </row>
    <row r="534" spans="2:14" ht="15">
      <c r="B534" s="1" t="s">
        <v>148</v>
      </c>
      <c r="M534" s="2" t="s">
        <v>149</v>
      </c>
    </row>
    <row r="535" spans="2:14">
      <c r="B535" s="3">
        <f>B2</f>
        <v>40664</v>
      </c>
      <c r="C535" s="4"/>
      <c r="D535" s="4"/>
      <c r="F535" s="6"/>
      <c r="G535" s="6" t="s">
        <v>150</v>
      </c>
      <c r="H535" s="6"/>
      <c r="I535" s="7" t="str">
        <f>I2</f>
        <v>395 - LaCrosse</v>
      </c>
      <c r="J535" s="8"/>
      <c r="K535" s="8"/>
      <c r="L535" s="6" t="s">
        <v>151</v>
      </c>
      <c r="M535" s="9">
        <f>M2</f>
        <v>395</v>
      </c>
    </row>
    <row r="536" spans="2:14">
      <c r="K536" s="6" t="s">
        <v>153</v>
      </c>
      <c r="M536" s="57" t="s">
        <v>688</v>
      </c>
    </row>
    <row r="537" spans="2:14">
      <c r="E537" s="12"/>
      <c r="F537" s="12"/>
      <c r="G537" s="12"/>
      <c r="H537" s="12"/>
      <c r="I537" s="12"/>
      <c r="J537" s="12"/>
      <c r="K537" s="13"/>
      <c r="L537" s="13"/>
      <c r="M537" s="12"/>
    </row>
    <row r="538" spans="2:14" ht="7.5" customHeight="1">
      <c r="E538" s="12"/>
      <c r="F538" s="12"/>
      <c r="G538" s="12"/>
      <c r="H538" s="12"/>
      <c r="I538" s="12"/>
      <c r="J538" s="12"/>
      <c r="K538" s="13"/>
      <c r="L538" s="13"/>
      <c r="M538" s="12"/>
    </row>
    <row r="539" spans="2:14">
      <c r="B539" s="12" t="str">
        <f>B6</f>
        <v>2011-2012</v>
      </c>
      <c r="C539" s="12"/>
      <c r="D539" s="12"/>
      <c r="E539" s="12"/>
      <c r="F539" s="12"/>
      <c r="G539" s="12"/>
      <c r="H539" s="12"/>
      <c r="I539" s="12"/>
      <c r="J539" s="12"/>
      <c r="K539" s="12"/>
      <c r="L539" s="12"/>
      <c r="M539" s="12"/>
    </row>
    <row r="540" spans="2:14">
      <c r="B540" s="12" t="s">
        <v>155</v>
      </c>
      <c r="C540" s="12"/>
      <c r="D540" s="12"/>
      <c r="E540" s="12"/>
      <c r="F540" s="12"/>
      <c r="G540" s="12"/>
      <c r="H540" s="12"/>
      <c r="I540" s="12"/>
      <c r="J540" s="12"/>
      <c r="K540" s="12"/>
      <c r="L540" s="12"/>
      <c r="M540" s="12"/>
    </row>
    <row r="541" spans="2:14">
      <c r="B541" s="12" t="s">
        <v>156</v>
      </c>
      <c r="C541" s="12"/>
      <c r="D541" s="12"/>
      <c r="E541" s="12"/>
      <c r="F541" s="12"/>
      <c r="G541" s="12"/>
      <c r="H541" s="12"/>
      <c r="I541" s="12"/>
      <c r="J541" s="12"/>
      <c r="K541" s="12"/>
      <c r="L541" s="12"/>
      <c r="M541" s="12"/>
    </row>
    <row r="542" spans="2:14" ht="15">
      <c r="B542" s="14" t="s">
        <v>157</v>
      </c>
      <c r="C542" s="14"/>
      <c r="D542" s="14"/>
      <c r="E542" s="12"/>
      <c r="F542" s="12"/>
      <c r="G542" s="12"/>
      <c r="H542" s="12"/>
      <c r="I542" s="12"/>
      <c r="J542" s="12"/>
      <c r="K542" s="12"/>
      <c r="L542" s="12"/>
      <c r="M542" s="12"/>
    </row>
    <row r="543" spans="2:14" ht="6.75" customHeight="1"/>
    <row r="544" spans="2:14" ht="15">
      <c r="E544" s="10"/>
      <c r="F544" s="10"/>
      <c r="G544" s="10" t="s">
        <v>158</v>
      </c>
      <c r="H544" s="10"/>
      <c r="I544" s="10" t="s">
        <v>159</v>
      </c>
      <c r="J544" s="10"/>
      <c r="K544" s="10" t="s">
        <v>160</v>
      </c>
      <c r="L544" s="10"/>
      <c r="M544" s="10"/>
    </row>
    <row r="545" spans="2:13" ht="15">
      <c r="E545" s="10" t="s">
        <v>280</v>
      </c>
      <c r="F545" s="10"/>
      <c r="G545" s="10" t="s">
        <v>280</v>
      </c>
      <c r="H545" s="10"/>
      <c r="I545" s="10" t="s">
        <v>281</v>
      </c>
      <c r="J545" s="10"/>
      <c r="K545" s="10" t="s">
        <v>282</v>
      </c>
      <c r="L545" s="10"/>
      <c r="M545" s="10" t="s">
        <v>283</v>
      </c>
    </row>
    <row r="546" spans="2:13" ht="15">
      <c r="E546" s="10" t="s">
        <v>284</v>
      </c>
      <c r="F546" s="10"/>
      <c r="G546" s="10" t="s">
        <v>284</v>
      </c>
      <c r="H546" s="10"/>
      <c r="I546" s="10" t="s">
        <v>284</v>
      </c>
      <c r="J546" s="10"/>
      <c r="K546" s="10" t="str">
        <f>K13</f>
        <v>Fund #1</v>
      </c>
      <c r="L546" s="10"/>
      <c r="M546" s="10" t="str">
        <f>M13</f>
        <v>Fund</v>
      </c>
    </row>
    <row r="547" spans="2:13" ht="7.5" customHeight="1"/>
    <row r="548" spans="2:13">
      <c r="B548" s="1" t="str">
        <f>B15</f>
        <v>1.  County Treasurer Balance 6/30/2011 *</v>
      </c>
      <c r="E548" s="52"/>
      <c r="F548" s="46"/>
      <c r="G548" s="52"/>
      <c r="H548" s="46"/>
      <c r="I548" s="52"/>
      <c r="J548" s="46"/>
      <c r="K548" s="52"/>
      <c r="L548" s="46"/>
      <c r="M548" s="52"/>
    </row>
    <row r="549" spans="2:13" ht="7.5" customHeight="1">
      <c r="B549" s="17"/>
      <c r="C549" s="17"/>
      <c r="D549" s="17"/>
      <c r="E549" s="53"/>
      <c r="F549" s="53"/>
      <c r="G549" s="53"/>
      <c r="H549" s="53"/>
      <c r="I549" s="53"/>
      <c r="J549" s="53"/>
      <c r="K549" s="53"/>
      <c r="L549" s="53"/>
      <c r="M549" s="53"/>
    </row>
    <row r="550" spans="2:13">
      <c r="B550" s="1" t="str">
        <f>B17</f>
        <v>2.  2010 Actual Taxes Levied*</v>
      </c>
      <c r="E550" s="52">
        <v>1931</v>
      </c>
      <c r="F550" s="46"/>
      <c r="G550" s="52">
        <v>2435</v>
      </c>
      <c r="H550" s="46"/>
      <c r="I550" s="52">
        <v>336</v>
      </c>
      <c r="J550" s="46"/>
      <c r="K550" s="52"/>
      <c r="L550" s="46"/>
      <c r="M550" s="52"/>
    </row>
    <row r="551" spans="2:13" ht="8.25" customHeight="1">
      <c r="E551" s="46"/>
      <c r="F551" s="46"/>
      <c r="G551" s="46"/>
      <c r="H551" s="46"/>
      <c r="I551" s="46"/>
      <c r="J551" s="46"/>
      <c r="K551" s="46"/>
      <c r="L551" s="46"/>
      <c r="M551" s="46"/>
    </row>
    <row r="552" spans="2:13">
      <c r="B552" s="1" t="s">
        <v>285</v>
      </c>
      <c r="C552" s="19">
        <v>0</v>
      </c>
      <c r="E552" s="15">
        <f>SUM(E550*$C$552/100)</f>
        <v>0</v>
      </c>
      <c r="F552" s="15"/>
      <c r="G552" s="15">
        <f>SUM(G550*$C$552/100)</f>
        <v>0</v>
      </c>
      <c r="H552" s="15"/>
      <c r="I552" s="15">
        <f>SUM(I550*$C$552/100)</f>
        <v>0</v>
      </c>
      <c r="J552" s="15"/>
      <c r="K552" s="15">
        <f>SUM(K550*$C$552/100)</f>
        <v>0</v>
      </c>
      <c r="L552" s="15"/>
      <c r="M552" s="15">
        <f>SUM(M550*$C$552/100)</f>
        <v>0</v>
      </c>
    </row>
    <row r="553" spans="2:13" ht="8.25" customHeight="1">
      <c r="E553" s="46"/>
      <c r="F553" s="46"/>
      <c r="G553" s="46"/>
      <c r="H553" s="46"/>
      <c r="I553" s="46"/>
      <c r="J553" s="46"/>
      <c r="K553" s="46"/>
      <c r="L553" s="46"/>
      <c r="M553" s="46"/>
    </row>
    <row r="554" spans="2:13">
      <c r="B554" s="1" t="str">
        <f>B21</f>
        <v>4.  Less:  Jan. 20, 2011 Taxes received**</v>
      </c>
      <c r="C554" s="6"/>
      <c r="E554" s="52">
        <v>1377</v>
      </c>
      <c r="F554" s="46"/>
      <c r="G554" s="52">
        <v>1629</v>
      </c>
      <c r="H554" s="46"/>
      <c r="I554" s="52">
        <v>221</v>
      </c>
      <c r="J554" s="46"/>
      <c r="K554" s="52"/>
      <c r="L554" s="46"/>
      <c r="M554" s="52"/>
    </row>
    <row r="555" spans="2:13" ht="9" customHeight="1">
      <c r="E555" s="46"/>
      <c r="F555" s="46"/>
      <c r="G555" s="46"/>
      <c r="H555" s="46"/>
      <c r="I555" s="46"/>
      <c r="J555" s="46"/>
      <c r="K555" s="46"/>
      <c r="L555" s="46"/>
      <c r="M555" s="46"/>
    </row>
    <row r="556" spans="2:13">
      <c r="B556" s="1" t="str">
        <f>B23</f>
        <v>5.  Less:  Mar. 20, 2011  Taxes received**</v>
      </c>
      <c r="E556" s="52">
        <v>16</v>
      </c>
      <c r="F556" s="46"/>
      <c r="G556" s="52">
        <v>18</v>
      </c>
      <c r="H556" s="46"/>
      <c r="I556" s="52">
        <v>2</v>
      </c>
      <c r="J556" s="46"/>
      <c r="K556" s="52"/>
      <c r="L556" s="46"/>
      <c r="M556" s="52"/>
    </row>
    <row r="557" spans="2:13" ht="7.5" customHeight="1">
      <c r="E557" s="46"/>
      <c r="F557" s="46"/>
      <c r="G557" s="46"/>
      <c r="H557" s="46"/>
      <c r="I557" s="46"/>
      <c r="J557" s="46"/>
      <c r="K557" s="46"/>
      <c r="L557" s="46"/>
      <c r="M557" s="46"/>
    </row>
    <row r="558" spans="2:13">
      <c r="B558" s="1" t="str">
        <f>B25</f>
        <v>6.  Less:  June 5,  2011 Taxes received**</v>
      </c>
      <c r="E558" s="52">
        <v>391</v>
      </c>
      <c r="F558" s="46"/>
      <c r="G558" s="52">
        <v>467</v>
      </c>
      <c r="H558" s="46"/>
      <c r="I558" s="52">
        <v>63</v>
      </c>
      <c r="J558" s="46"/>
      <c r="K558" s="52"/>
      <c r="L558" s="46"/>
      <c r="M558" s="52"/>
    </row>
    <row r="559" spans="2:13" ht="8.25" customHeight="1">
      <c r="E559" s="46"/>
      <c r="F559" s="46"/>
      <c r="G559" s="46"/>
      <c r="H559" s="46"/>
      <c r="I559" s="46"/>
      <c r="J559" s="46"/>
      <c r="K559" s="46"/>
      <c r="L559" s="46"/>
      <c r="M559" s="46"/>
    </row>
    <row r="560" spans="2:13">
      <c r="B560" s="1" t="s">
        <v>286</v>
      </c>
      <c r="E560" s="52"/>
      <c r="F560" s="46"/>
      <c r="G560" s="52"/>
      <c r="H560" s="46"/>
      <c r="I560" s="52"/>
      <c r="J560" s="46"/>
      <c r="K560" s="52"/>
      <c r="L560" s="46"/>
      <c r="M560" s="52"/>
    </row>
    <row r="561" spans="2:14" ht="6.75" customHeight="1">
      <c r="E561" s="46"/>
      <c r="F561" s="46"/>
      <c r="G561" s="46"/>
      <c r="H561" s="46"/>
      <c r="I561" s="46"/>
      <c r="J561" s="46"/>
      <c r="K561" s="46"/>
      <c r="L561" s="46"/>
      <c r="M561" s="46"/>
    </row>
    <row r="562" spans="2:14">
      <c r="B562" s="1" t="s">
        <v>165</v>
      </c>
      <c r="E562" s="52"/>
      <c r="F562" s="46"/>
      <c r="G562" s="52"/>
      <c r="H562" s="46"/>
      <c r="I562" s="52"/>
      <c r="J562" s="46"/>
      <c r="K562" s="52"/>
      <c r="L562" s="46"/>
      <c r="M562" s="52"/>
    </row>
    <row r="563" spans="2:14">
      <c r="B563" s="1" t="s">
        <v>166</v>
      </c>
      <c r="E563" s="54"/>
      <c r="F563" s="46"/>
      <c r="G563" s="54"/>
      <c r="H563" s="46"/>
      <c r="I563" s="54"/>
      <c r="J563" s="46"/>
      <c r="K563" s="54"/>
      <c r="L563" s="46"/>
      <c r="M563" s="54"/>
    </row>
    <row r="564" spans="2:14">
      <c r="B564" s="1" t="s">
        <v>167</v>
      </c>
      <c r="E564" s="15">
        <f>SUM(E552:E563)</f>
        <v>1784</v>
      </c>
      <c r="F564" s="16"/>
      <c r="G564" s="15">
        <f>SUM(G552:G563)</f>
        <v>2114</v>
      </c>
      <c r="H564" s="16"/>
      <c r="I564" s="15">
        <f>SUM(I552:I563)</f>
        <v>286</v>
      </c>
      <c r="J564" s="16"/>
      <c r="K564" s="15">
        <f>SUM(K552:K563)</f>
        <v>0</v>
      </c>
      <c r="L564" s="16"/>
      <c r="M564" s="15">
        <f>SUM(M552:M563)</f>
        <v>0</v>
      </c>
    </row>
    <row r="565" spans="2:14" ht="7.5" customHeight="1">
      <c r="E565" s="16"/>
      <c r="F565" s="16"/>
      <c r="G565" s="16"/>
      <c r="H565" s="16"/>
      <c r="I565" s="16"/>
      <c r="J565" s="16"/>
      <c r="K565" s="16"/>
      <c r="L565" s="16"/>
      <c r="M565" s="16"/>
    </row>
    <row r="566" spans="2:14">
      <c r="B566" s="1" t="str">
        <f>B33</f>
        <v>11. 2010 taxes receivable (taxes in process</v>
      </c>
      <c r="E566" s="16"/>
      <c r="F566" s="16"/>
      <c r="G566" s="16"/>
      <c r="H566" s="16"/>
      <c r="I566" s="16"/>
      <c r="J566" s="16"/>
      <c r="K566" s="16"/>
      <c r="L566" s="16"/>
      <c r="M566" s="16"/>
    </row>
    <row r="567" spans="2:14">
      <c r="B567" s="1" t="str">
        <f>B34</f>
        <v xml:space="preserve">     of collection 6/30/2011)(Line 2 less Line 10)</v>
      </c>
      <c r="E567" s="15">
        <f>IF(E564&lt;=0,0,E550-E564)</f>
        <v>147</v>
      </c>
      <c r="F567" s="16"/>
      <c r="G567" s="15">
        <f>IF(G564&lt;=0,0,G550-G564)</f>
        <v>321</v>
      </c>
      <c r="H567" s="16"/>
      <c r="I567" s="15">
        <f>IF(I564&lt;=0,0,I550-I564)</f>
        <v>50</v>
      </c>
      <c r="J567" s="16"/>
      <c r="K567" s="15">
        <f>IF(K564&lt;=0,0,(K550-K564))</f>
        <v>0</v>
      </c>
      <c r="L567" s="16"/>
      <c r="M567" s="15">
        <f>IF(M564&lt;=0,0,M550-M564)</f>
        <v>0</v>
      </c>
    </row>
    <row r="568" spans="2:14" ht="7.5" customHeight="1">
      <c r="E568" s="21"/>
      <c r="F568" s="16"/>
      <c r="G568" s="21"/>
      <c r="H568" s="16"/>
      <c r="I568" s="21"/>
      <c r="J568" s="16"/>
      <c r="K568" s="21"/>
      <c r="L568" s="16"/>
      <c r="M568" s="21"/>
    </row>
    <row r="569" spans="2:14">
      <c r="B569" s="1" t="s">
        <v>288</v>
      </c>
      <c r="E569" s="16"/>
      <c r="F569" s="16"/>
      <c r="G569" s="16"/>
      <c r="H569" s="16"/>
      <c r="I569" s="16"/>
      <c r="J569" s="16"/>
      <c r="K569" s="16"/>
      <c r="L569" s="16"/>
      <c r="M569" s="16"/>
    </row>
    <row r="570" spans="2:14">
      <c r="B570" s="1" t="s">
        <v>289</v>
      </c>
      <c r="E570" s="16"/>
      <c r="F570" s="16"/>
      <c r="G570" s="16"/>
      <c r="H570" s="16"/>
      <c r="I570" s="16"/>
      <c r="J570" s="16"/>
      <c r="K570" s="16"/>
      <c r="L570" s="16"/>
      <c r="M570" s="16"/>
    </row>
    <row r="571" spans="2:14">
      <c r="B571" s="1" t="str">
        <f>B38</f>
        <v xml:space="preserve">     (7-1-2011 to 12-31-2012) (Line 3 x 75%)</v>
      </c>
      <c r="E571" s="15">
        <f>SUM(E552*0.75)</f>
        <v>0</v>
      </c>
      <c r="F571" s="16"/>
      <c r="G571" s="15">
        <f>SUM(G552*0.75)</f>
        <v>0</v>
      </c>
      <c r="H571" s="16"/>
      <c r="I571" s="15">
        <f>SUM(I552*0.75)</f>
        <v>0</v>
      </c>
      <c r="J571" s="16"/>
      <c r="K571" s="15">
        <f>SUM(K552*0.75)</f>
        <v>0</v>
      </c>
      <c r="L571" s="16"/>
      <c r="M571" s="15">
        <f>SUM(M552*0.75)</f>
        <v>0</v>
      </c>
    </row>
    <row r="572" spans="2:14" ht="15">
      <c r="B572" s="41" t="str">
        <f>B40</f>
        <v>Tax Collection Ratio (Jan, Mar, June)</v>
      </c>
      <c r="C572" s="17"/>
      <c r="D572" s="17"/>
      <c r="E572" s="42">
        <f>IF(E550&lt;&gt;0,(E554+E556+E558+E560+E562)/E550*100,0)</f>
        <v>92.387</v>
      </c>
      <c r="F572" s="26" t="s">
        <v>290</v>
      </c>
      <c r="G572" s="42">
        <f>IF(G550&lt;&gt;0,(G554+G556+G558+G560+G562)/G550*100,0)</f>
        <v>86.816999999999993</v>
      </c>
      <c r="H572" s="26" t="s">
        <v>290</v>
      </c>
      <c r="I572" s="42">
        <f>IF(I550&lt;&gt;0,(I554+I556+I558+I560+I562)/I550*100,0)</f>
        <v>85.119</v>
      </c>
      <c r="J572" s="26" t="s">
        <v>290</v>
      </c>
      <c r="K572" s="42">
        <f>IF(K550&lt;&gt;0,(K554+K556+K558+K560+K562)/K550*100,0)</f>
        <v>0</v>
      </c>
      <c r="L572" s="26" t="s">
        <v>290</v>
      </c>
      <c r="M572" s="42">
        <f>IF(M550&lt;&gt;0,(M554+M556+M558+M560+M562)/M550*100,0)</f>
        <v>0</v>
      </c>
      <c r="N572" s="24" t="s">
        <v>290</v>
      </c>
    </row>
    <row r="573" spans="2:14" ht="3" customHeight="1">
      <c r="B573" s="27"/>
      <c r="C573" s="24"/>
      <c r="D573" s="24"/>
      <c r="E573" s="24"/>
      <c r="F573" s="24"/>
      <c r="G573" s="24"/>
      <c r="H573" s="24"/>
      <c r="I573" s="24"/>
      <c r="J573" s="24"/>
      <c r="K573" s="24"/>
      <c r="L573" s="24"/>
      <c r="M573" s="24"/>
    </row>
    <row r="574" spans="2:14" ht="3" hidden="1" customHeight="1">
      <c r="B574" s="34"/>
      <c r="C574" s="34"/>
      <c r="D574" s="34"/>
      <c r="E574" s="34"/>
      <c r="F574" s="34"/>
      <c r="G574" s="34"/>
      <c r="H574" s="34"/>
      <c r="I574" s="55"/>
      <c r="J574" s="34"/>
      <c r="K574" s="34"/>
      <c r="L574" s="34"/>
      <c r="M574" s="34"/>
    </row>
    <row r="575" spans="2:14" ht="3" hidden="1" customHeight="1">
      <c r="B575" s="37"/>
      <c r="C575" s="37"/>
      <c r="D575" s="37"/>
      <c r="E575" s="37"/>
      <c r="F575" s="37"/>
      <c r="G575" s="37"/>
      <c r="H575" s="37"/>
      <c r="I575" s="37"/>
      <c r="J575" s="37"/>
      <c r="K575" s="37"/>
      <c r="L575" s="37"/>
      <c r="M575" s="37"/>
    </row>
    <row r="576" spans="2:14" ht="2.25" hidden="1" customHeight="1">
      <c r="B576" s="37"/>
      <c r="C576" s="37"/>
      <c r="D576" s="37"/>
      <c r="E576" s="37"/>
      <c r="F576" s="37"/>
      <c r="G576" s="37"/>
      <c r="H576" s="37"/>
      <c r="I576" s="37"/>
      <c r="J576" s="37"/>
      <c r="K576" s="37"/>
      <c r="L576" s="37"/>
      <c r="M576" s="37"/>
    </row>
    <row r="577" spans="2:13" ht="3" hidden="1" customHeight="1">
      <c r="B577" s="37"/>
      <c r="C577" s="37"/>
      <c r="D577" s="37"/>
      <c r="E577" s="37"/>
      <c r="F577" s="37"/>
      <c r="G577" s="37"/>
      <c r="H577" s="37"/>
      <c r="I577" s="37"/>
      <c r="J577" s="37"/>
      <c r="K577" s="37"/>
      <c r="L577" s="37"/>
      <c r="M577" s="37"/>
    </row>
    <row r="578" spans="2:13" ht="2.25" hidden="1" customHeight="1">
      <c r="B578" s="37"/>
      <c r="C578" s="37"/>
      <c r="D578" s="37"/>
      <c r="E578" s="37"/>
      <c r="F578" s="37"/>
      <c r="G578" s="37"/>
      <c r="H578" s="37"/>
      <c r="I578" s="37"/>
      <c r="J578" s="37"/>
      <c r="K578" s="37"/>
      <c r="L578" s="37"/>
      <c r="M578" s="37"/>
    </row>
    <row r="579" spans="2:13" ht="3" hidden="1" customHeight="1">
      <c r="B579" s="37"/>
      <c r="C579" s="37"/>
      <c r="D579" s="37"/>
      <c r="E579" s="37"/>
      <c r="F579" s="37"/>
      <c r="G579" s="37"/>
      <c r="H579" s="37"/>
      <c r="I579" s="37"/>
      <c r="J579" s="37"/>
      <c r="K579" s="37"/>
      <c r="L579" s="37"/>
      <c r="M579" s="37"/>
    </row>
    <row r="580" spans="2:13" ht="0.75" hidden="1" customHeight="1">
      <c r="B580" s="37"/>
      <c r="C580" s="37"/>
      <c r="D580" s="37"/>
      <c r="E580" s="37"/>
      <c r="F580" s="37"/>
      <c r="G580" s="37"/>
      <c r="H580" s="37"/>
      <c r="I580" s="37"/>
      <c r="J580" s="37"/>
      <c r="K580" s="37"/>
      <c r="L580" s="37"/>
      <c r="M580" s="37"/>
    </row>
    <row r="581" spans="2:13" ht="12.75" customHeight="1">
      <c r="B581" s="1" t="str">
        <f>B98</f>
        <v>*Amounts are available from the County Treasurer.       **These Jan.-June, 2011 amounts are available from the County Treasurer.  (Does not</v>
      </c>
      <c r="C581" s="37"/>
      <c r="D581" s="37"/>
      <c r="E581" s="37"/>
      <c r="F581" s="37"/>
      <c r="G581" s="37"/>
      <c r="H581" s="37"/>
      <c r="I581" s="37"/>
      <c r="J581" s="37"/>
      <c r="K581" s="37"/>
      <c r="L581" s="37"/>
      <c r="M581" s="37"/>
    </row>
    <row r="582" spans="2:13">
      <c r="B582" s="1" t="str">
        <f>B99</f>
        <v xml:space="preserve"> include MVPT.  Should correspond to school records.)</v>
      </c>
    </row>
    <row r="583" spans="2:13">
      <c r="B583" s="1" t="s">
        <v>354</v>
      </c>
    </row>
    <row r="584" spans="2:13" ht="15">
      <c r="B584" s="1" t="s">
        <v>148</v>
      </c>
      <c r="M584" s="2" t="s">
        <v>178</v>
      </c>
    </row>
    <row r="585" spans="2:13">
      <c r="B585" s="3">
        <f>B2</f>
        <v>40664</v>
      </c>
      <c r="C585" s="4"/>
      <c r="D585" s="4"/>
      <c r="F585" s="6"/>
      <c r="G585" s="6" t="s">
        <v>150</v>
      </c>
      <c r="H585" s="6"/>
      <c r="I585" s="8" t="str">
        <f>I535</f>
        <v>395 - LaCrosse</v>
      </c>
      <c r="J585" s="8"/>
      <c r="K585" s="38" t="s">
        <v>151</v>
      </c>
      <c r="L585" s="37"/>
      <c r="M585" s="9">
        <f>M535</f>
        <v>395</v>
      </c>
    </row>
    <row r="586" spans="2:13">
      <c r="K586" s="6" t="s">
        <v>153</v>
      </c>
      <c r="M586" s="8" t="str">
        <f>M536</f>
        <v>TREGO</v>
      </c>
    </row>
    <row r="587" spans="2:13" ht="8.25" customHeight="1">
      <c r="E587" s="12"/>
      <c r="F587" s="12"/>
      <c r="G587" s="12"/>
      <c r="H587" s="12"/>
      <c r="I587" s="12"/>
      <c r="J587" s="12"/>
      <c r="K587" s="13"/>
      <c r="L587" s="13"/>
      <c r="M587" s="12"/>
    </row>
    <row r="588" spans="2:13">
      <c r="B588" s="12" t="str">
        <f>B6</f>
        <v>2011-2012</v>
      </c>
      <c r="C588" s="12"/>
      <c r="D588" s="12"/>
      <c r="E588" s="12"/>
      <c r="F588" s="12"/>
      <c r="G588" s="12"/>
      <c r="H588" s="12"/>
      <c r="I588" s="12"/>
      <c r="J588" s="12"/>
      <c r="K588" s="12"/>
      <c r="L588" s="12"/>
      <c r="M588" s="12"/>
    </row>
    <row r="589" spans="2:13">
      <c r="B589" s="12" t="s">
        <v>155</v>
      </c>
      <c r="C589" s="12"/>
      <c r="D589" s="12"/>
      <c r="E589" s="12"/>
      <c r="F589" s="12"/>
      <c r="G589" s="12"/>
      <c r="H589" s="12"/>
      <c r="I589" s="12"/>
      <c r="J589" s="12"/>
      <c r="K589" s="12"/>
      <c r="L589" s="12"/>
      <c r="M589" s="12"/>
    </row>
    <row r="590" spans="2:13">
      <c r="B590" s="12" t="s">
        <v>156</v>
      </c>
      <c r="C590" s="12"/>
      <c r="D590" s="12"/>
      <c r="E590" s="12"/>
      <c r="F590" s="12"/>
      <c r="G590" s="12"/>
      <c r="H590" s="12"/>
      <c r="I590" s="12"/>
      <c r="J590" s="12"/>
      <c r="K590" s="12"/>
      <c r="L590" s="12"/>
      <c r="M590" s="12"/>
    </row>
    <row r="591" spans="2:13" ht="15">
      <c r="B591" s="14" t="s">
        <v>157</v>
      </c>
      <c r="C591" s="14"/>
      <c r="D591" s="14"/>
      <c r="E591" s="12"/>
      <c r="F591" s="12"/>
      <c r="G591" s="12"/>
      <c r="H591" s="12"/>
      <c r="I591" s="12"/>
      <c r="J591" s="12"/>
      <c r="K591" s="12"/>
      <c r="L591" s="12"/>
      <c r="M591" s="12"/>
    </row>
    <row r="592" spans="2:13" ht="8.25" customHeight="1">
      <c r="E592" s="10"/>
      <c r="F592" s="10"/>
      <c r="G592" s="10"/>
      <c r="H592" s="10"/>
      <c r="I592" s="10"/>
      <c r="J592" s="10"/>
      <c r="K592" s="10"/>
      <c r="L592" s="10"/>
      <c r="M592" s="10"/>
    </row>
    <row r="593" spans="2:14" ht="15">
      <c r="E593" s="10" t="s">
        <v>179</v>
      </c>
      <c r="F593" s="10"/>
      <c r="G593" s="419" t="s">
        <v>25</v>
      </c>
      <c r="H593" s="10"/>
      <c r="I593" s="419" t="s">
        <v>181</v>
      </c>
      <c r="J593" s="10"/>
      <c r="K593" s="419" t="s">
        <v>182</v>
      </c>
      <c r="M593"/>
      <c r="N593"/>
    </row>
    <row r="594" spans="2:14" ht="15">
      <c r="E594" s="10" t="s">
        <v>328</v>
      </c>
      <c r="F594" s="10"/>
      <c r="G594" s="10" t="s">
        <v>24</v>
      </c>
      <c r="H594" s="10"/>
      <c r="I594" s="419" t="s">
        <v>329</v>
      </c>
      <c r="J594" s="10"/>
      <c r="K594" s="419" t="str">
        <f>K61</f>
        <v>Interest #2</v>
      </c>
      <c r="M594"/>
      <c r="N594"/>
    </row>
    <row r="595" spans="2:14" ht="7.5" customHeight="1">
      <c r="M595"/>
      <c r="N595"/>
    </row>
    <row r="596" spans="2:14">
      <c r="B596" s="1" t="str">
        <f>B15</f>
        <v>1.  County Treasurer Balance 6/30/2011 *</v>
      </c>
      <c r="E596" s="52"/>
      <c r="F596" s="46"/>
      <c r="G596" s="52"/>
      <c r="H596" s="46"/>
      <c r="I596" s="52"/>
      <c r="J596" s="46"/>
      <c r="K596" s="52"/>
      <c r="M596"/>
      <c r="N596"/>
    </row>
    <row r="597" spans="2:14" ht="7.5" customHeight="1">
      <c r="B597" s="17"/>
      <c r="C597" s="17"/>
      <c r="D597" s="17"/>
      <c r="E597" s="53"/>
      <c r="F597" s="53"/>
      <c r="G597" s="53"/>
      <c r="H597" s="53"/>
      <c r="I597" s="53"/>
      <c r="J597" s="53"/>
      <c r="K597" s="53"/>
      <c r="M597"/>
      <c r="N597"/>
    </row>
    <row r="598" spans="2:14">
      <c r="B598" s="1" t="str">
        <f>B17</f>
        <v>2.  2010 Actual Taxes Levied*</v>
      </c>
      <c r="E598" s="52"/>
      <c r="F598" s="46"/>
      <c r="G598" s="52"/>
      <c r="H598" s="46"/>
      <c r="I598" s="52"/>
      <c r="J598" s="46"/>
      <c r="K598" s="52"/>
      <c r="M598"/>
      <c r="N598"/>
    </row>
    <row r="599" spans="2:14" ht="8.25" customHeight="1">
      <c r="E599" s="46"/>
      <c r="F599" s="46"/>
      <c r="G599" s="46"/>
      <c r="H599" s="46"/>
      <c r="I599" s="46"/>
      <c r="J599" s="46"/>
      <c r="K599" s="46"/>
      <c r="M599"/>
      <c r="N599"/>
    </row>
    <row r="600" spans="2:14">
      <c r="B600" s="1" t="s">
        <v>330</v>
      </c>
      <c r="C600" s="33">
        <f>C552</f>
        <v>0</v>
      </c>
      <c r="D600" s="40"/>
      <c r="E600" s="15">
        <f>E598*$C$600/100</f>
        <v>0</v>
      </c>
      <c r="F600" s="15"/>
      <c r="G600" s="15">
        <f>G598*$C$600/100</f>
        <v>0</v>
      </c>
      <c r="H600" s="15"/>
      <c r="I600" s="15">
        <f>I598*$C$600/100</f>
        <v>0</v>
      </c>
      <c r="J600" s="15"/>
      <c r="K600" s="15">
        <f>K598*$C$600/100</f>
        <v>0</v>
      </c>
      <c r="L600" s="15"/>
      <c r="M600"/>
      <c r="N600"/>
    </row>
    <row r="601" spans="2:14" ht="6" customHeight="1">
      <c r="E601" s="46"/>
      <c r="F601" s="46"/>
      <c r="G601" s="46"/>
      <c r="H601" s="46"/>
      <c r="I601" s="46"/>
      <c r="J601" s="46"/>
      <c r="K601" s="46"/>
      <c r="M601"/>
      <c r="N601"/>
    </row>
    <row r="602" spans="2:14">
      <c r="B602" s="1" t="str">
        <f>B21</f>
        <v>4.  Less:  Jan. 20, 2011 Taxes received**</v>
      </c>
      <c r="E602" s="52"/>
      <c r="F602" s="46"/>
      <c r="G602" s="52"/>
      <c r="H602" s="46"/>
      <c r="I602" s="52"/>
      <c r="J602" s="46"/>
      <c r="K602" s="52"/>
      <c r="M602"/>
      <c r="N602"/>
    </row>
    <row r="603" spans="2:14" ht="9" customHeight="1">
      <c r="E603" s="46"/>
      <c r="F603" s="46"/>
      <c r="G603" s="46"/>
      <c r="H603" s="46"/>
      <c r="I603" s="46"/>
      <c r="J603" s="46"/>
      <c r="K603" s="46"/>
      <c r="M603"/>
      <c r="N603"/>
    </row>
    <row r="604" spans="2:14">
      <c r="B604" s="1" t="str">
        <f>B23</f>
        <v>5.  Less:  Mar. 20, 2011  Taxes received**</v>
      </c>
      <c r="E604" s="52"/>
      <c r="F604" s="46"/>
      <c r="G604" s="52"/>
      <c r="H604" s="46"/>
      <c r="I604" s="52"/>
      <c r="J604" s="46"/>
      <c r="K604" s="52"/>
      <c r="M604"/>
      <c r="N604"/>
    </row>
    <row r="605" spans="2:14" ht="6.75" customHeight="1">
      <c r="E605" s="56"/>
      <c r="F605" s="46"/>
      <c r="G605" s="56"/>
      <c r="H605" s="46"/>
      <c r="I605" s="56"/>
      <c r="J605" s="46"/>
      <c r="K605" s="56"/>
      <c r="M605"/>
      <c r="N605"/>
    </row>
    <row r="606" spans="2:14">
      <c r="B606" s="1" t="str">
        <f>B25</f>
        <v>6.  Less:  June 5,  2011 Taxes received**</v>
      </c>
      <c r="E606" s="52"/>
      <c r="F606" s="46"/>
      <c r="G606" s="52"/>
      <c r="H606" s="46"/>
      <c r="I606" s="52"/>
      <c r="J606" s="46"/>
      <c r="K606" s="52"/>
      <c r="M606"/>
      <c r="N606"/>
    </row>
    <row r="607" spans="2:14" ht="8.25" customHeight="1">
      <c r="E607" s="56"/>
      <c r="F607" s="46"/>
      <c r="G607" s="56"/>
      <c r="H607" s="46"/>
      <c r="I607" s="56"/>
      <c r="J607" s="46"/>
      <c r="K607" s="21"/>
      <c r="M607"/>
      <c r="N607"/>
    </row>
    <row r="608" spans="2:14">
      <c r="B608" s="1" t="s">
        <v>355</v>
      </c>
      <c r="E608" s="52"/>
      <c r="F608" s="46"/>
      <c r="G608" s="52"/>
      <c r="H608" s="46"/>
      <c r="I608" s="52"/>
      <c r="J608" s="46"/>
      <c r="K608" s="52"/>
      <c r="M608"/>
      <c r="N608"/>
    </row>
    <row r="609" spans="2:14" ht="7.5" customHeight="1">
      <c r="E609" s="46"/>
      <c r="F609" s="46"/>
      <c r="G609" s="46"/>
      <c r="H609" s="46"/>
      <c r="I609" s="46"/>
      <c r="J609" s="46"/>
      <c r="K609" s="46"/>
      <c r="M609"/>
      <c r="N609"/>
    </row>
    <row r="610" spans="2:14">
      <c r="B610" s="1" t="s">
        <v>356</v>
      </c>
      <c r="E610" s="52"/>
      <c r="F610" s="46"/>
      <c r="G610" s="52"/>
      <c r="H610" s="46"/>
      <c r="I610" s="52"/>
      <c r="J610" s="46"/>
      <c r="K610" s="52"/>
      <c r="M610"/>
      <c r="N610"/>
    </row>
    <row r="611" spans="2:14">
      <c r="B611" s="1" t="s">
        <v>166</v>
      </c>
      <c r="E611" s="54"/>
      <c r="F611" s="46"/>
      <c r="G611" s="54"/>
      <c r="H611" s="46"/>
      <c r="I611" s="54"/>
      <c r="J611" s="46"/>
      <c r="K611" s="54"/>
      <c r="M611"/>
      <c r="N611"/>
    </row>
    <row r="612" spans="2:14">
      <c r="B612" s="1" t="s">
        <v>331</v>
      </c>
      <c r="E612" s="15">
        <f>SUM(E600:E611)</f>
        <v>0</v>
      </c>
      <c r="F612" s="21"/>
      <c r="G612" s="15">
        <f>SUM(G600:G611)</f>
        <v>0</v>
      </c>
      <c r="H612" s="21"/>
      <c r="I612" s="15">
        <f>SUM(I600:I611)</f>
        <v>0</v>
      </c>
      <c r="J612" s="21"/>
      <c r="K612" s="15">
        <f>SUM(K600:K611)</f>
        <v>0</v>
      </c>
      <c r="L612" s="40"/>
      <c r="M612"/>
      <c r="N612"/>
    </row>
    <row r="613" spans="2:14" ht="6.75" customHeight="1">
      <c r="E613" s="16"/>
      <c r="F613" s="16"/>
      <c r="G613" s="16"/>
      <c r="H613" s="16"/>
      <c r="I613" s="16"/>
      <c r="J613" s="16"/>
      <c r="K613" s="16"/>
      <c r="L613" s="40"/>
      <c r="M613"/>
      <c r="N613"/>
    </row>
    <row r="614" spans="2:14">
      <c r="B614" s="1" t="str">
        <f>B33</f>
        <v>11. 2010 taxes receivable (taxes in process</v>
      </c>
      <c r="E614" s="16"/>
      <c r="F614" s="16"/>
      <c r="G614" s="16"/>
      <c r="H614" s="16"/>
      <c r="I614" s="16"/>
      <c r="J614" s="16"/>
      <c r="K614" s="16"/>
      <c r="L614" s="40"/>
      <c r="M614"/>
      <c r="N614"/>
    </row>
    <row r="615" spans="2:14">
      <c r="B615" s="1" t="str">
        <f>B34</f>
        <v xml:space="preserve">     of collection 6/30/2011)(Line 2 less Line 10)</v>
      </c>
      <c r="E615" s="15">
        <f>IF(E612&lt;=0,0,E598-E612)</f>
        <v>0</v>
      </c>
      <c r="F615" s="21"/>
      <c r="G615" s="15">
        <f>IF(G612&lt;=0,0,G598-G612)</f>
        <v>0</v>
      </c>
      <c r="H615" s="21"/>
      <c r="I615" s="15">
        <f>IF(I612&lt;=0,0,I598-I612)</f>
        <v>0</v>
      </c>
      <c r="J615" s="21"/>
      <c r="K615" s="15">
        <f>IF(K612&lt;=0,0,K598-K612)</f>
        <v>0</v>
      </c>
      <c r="L615" s="15"/>
      <c r="M615"/>
      <c r="N615"/>
    </row>
    <row r="616" spans="2:14" ht="7.5" customHeight="1">
      <c r="E616" s="16"/>
      <c r="F616" s="16"/>
      <c r="G616" s="16"/>
      <c r="H616" s="16"/>
      <c r="I616" s="16"/>
      <c r="J616" s="16"/>
      <c r="K616" s="16"/>
      <c r="L616" s="40"/>
      <c r="M616"/>
      <c r="N616"/>
    </row>
    <row r="617" spans="2:14">
      <c r="B617" s="1" t="s">
        <v>236</v>
      </c>
      <c r="E617" s="16"/>
      <c r="F617" s="16"/>
      <c r="G617" s="16"/>
      <c r="H617" s="16"/>
      <c r="I617" s="16"/>
      <c r="J617" s="16"/>
      <c r="K617" s="16"/>
      <c r="L617" s="40"/>
      <c r="M617"/>
      <c r="N617"/>
    </row>
    <row r="618" spans="2:14">
      <c r="B618" s="1" t="s">
        <v>289</v>
      </c>
      <c r="E618" s="16"/>
      <c r="F618" s="16"/>
      <c r="G618" s="16"/>
      <c r="H618" s="16"/>
      <c r="I618" s="16"/>
      <c r="J618" s="16"/>
      <c r="K618" s="16"/>
      <c r="L618" s="40"/>
      <c r="M618"/>
      <c r="N618"/>
    </row>
    <row r="619" spans="2:14">
      <c r="B619" s="1" t="str">
        <f>B38</f>
        <v xml:space="preserve">     (7-1-2011 to 12-31-2012) (Line 3 x 75%)</v>
      </c>
      <c r="E619" s="15">
        <f>SUM(E600*0.75)</f>
        <v>0</v>
      </c>
      <c r="F619" s="21"/>
      <c r="G619" s="15">
        <f>SUM(G600*0.75)</f>
        <v>0</v>
      </c>
      <c r="H619" s="21"/>
      <c r="I619" s="15">
        <f>SUM(I600*0.75)</f>
        <v>0</v>
      </c>
      <c r="J619" s="21"/>
      <c r="K619" s="15">
        <f>SUM(K600*0.75)</f>
        <v>0</v>
      </c>
      <c r="L619" s="40"/>
      <c r="M619"/>
      <c r="N619"/>
    </row>
    <row r="620" spans="2:14" ht="15">
      <c r="B620" s="35" t="str">
        <f>B40</f>
        <v>Tax Collection Ratio (Jan, Mar, June)</v>
      </c>
      <c r="E620" s="51">
        <f>IF(E598&lt;&gt;0,(E602+E604+E606+E608+E610)/E598*100,0)</f>
        <v>0</v>
      </c>
      <c r="F620" s="26" t="s">
        <v>290</v>
      </c>
      <c r="G620" s="51">
        <f>IF(G598&lt;&gt;0,(G602+G604+G606+G608+G610)/G598*100,0)</f>
        <v>0</v>
      </c>
      <c r="H620" s="26" t="s">
        <v>290</v>
      </c>
      <c r="I620" s="51">
        <f>IF(I598&lt;&gt;0,(I602+I604+I606+I608+I610)/I598*100,0)</f>
        <v>0</v>
      </c>
      <c r="J620" s="26" t="s">
        <v>290</v>
      </c>
      <c r="K620" s="51">
        <f>IF(K598&lt;&gt;0,(K602+K604+K606+K608+K610)/K598*100,0)</f>
        <v>0</v>
      </c>
      <c r="L620" s="26" t="s">
        <v>290</v>
      </c>
      <c r="M620"/>
      <c r="N620"/>
    </row>
    <row r="621" spans="2:14" ht="5.0999999999999996" customHeight="1">
      <c r="B621" s="17"/>
      <c r="C621" s="17"/>
      <c r="D621" s="17"/>
      <c r="E621" s="17"/>
      <c r="F621" s="17"/>
      <c r="G621" s="17"/>
      <c r="H621" s="17"/>
      <c r="I621" s="17"/>
      <c r="J621" s="17"/>
      <c r="K621" s="17"/>
      <c r="L621" s="17"/>
      <c r="M621" s="17"/>
    </row>
    <row r="622" spans="2:14" ht="12" customHeight="1">
      <c r="B622" s="1" t="str">
        <f>B98</f>
        <v>*Amounts are available from the County Treasurer.       **These Jan.-June, 2011 amounts are available from the County Treasurer.  (Does not</v>
      </c>
      <c r="C622" s="37"/>
      <c r="D622" s="37"/>
      <c r="E622" s="37"/>
      <c r="F622" s="37"/>
      <c r="G622" s="37"/>
      <c r="H622" s="37"/>
      <c r="I622" s="37"/>
      <c r="J622" s="37"/>
      <c r="K622" s="37"/>
    </row>
    <row r="623" spans="2:14">
      <c r="B623" s="1" t="str">
        <f>B99</f>
        <v xml:space="preserve"> include MVPT.  Should correspond to school records.)</v>
      </c>
    </row>
    <row r="624" spans="2:14" ht="15">
      <c r="B624" s="1" t="s">
        <v>148</v>
      </c>
      <c r="M624" s="2" t="s">
        <v>337</v>
      </c>
    </row>
    <row r="625" spans="2:13">
      <c r="B625" s="3">
        <f>B2</f>
        <v>40664</v>
      </c>
      <c r="C625" s="4"/>
      <c r="D625" s="4"/>
      <c r="G625" s="6" t="s">
        <v>150</v>
      </c>
      <c r="H625" s="6"/>
      <c r="I625" s="8" t="str">
        <f>I535</f>
        <v>395 - LaCrosse</v>
      </c>
      <c r="J625" s="8"/>
      <c r="K625" s="8"/>
      <c r="L625" s="6" t="s">
        <v>151</v>
      </c>
      <c r="M625" s="9">
        <f>M535</f>
        <v>395</v>
      </c>
    </row>
    <row r="626" spans="2:13">
      <c r="K626" s="6" t="s">
        <v>153</v>
      </c>
      <c r="M626" s="8" t="str">
        <f>M536</f>
        <v>TREGO</v>
      </c>
    </row>
    <row r="627" spans="2:13" ht="8.25" customHeight="1">
      <c r="E627" s="12"/>
      <c r="F627" s="12"/>
      <c r="G627" s="12"/>
      <c r="H627" s="12"/>
      <c r="I627" s="12"/>
      <c r="J627" s="12"/>
      <c r="K627" s="13"/>
      <c r="L627" s="13"/>
      <c r="M627" s="12"/>
    </row>
    <row r="628" spans="2:13">
      <c r="B628" s="12" t="str">
        <f>B6</f>
        <v>2011-2012</v>
      </c>
      <c r="C628" s="12"/>
      <c r="D628" s="12"/>
      <c r="E628" s="12"/>
      <c r="F628" s="12"/>
      <c r="G628" s="12"/>
      <c r="H628" s="12"/>
      <c r="I628" s="12"/>
      <c r="J628" s="12"/>
      <c r="K628" s="12"/>
      <c r="L628" s="12"/>
      <c r="M628" s="12"/>
    </row>
    <row r="629" spans="2:13">
      <c r="B629" s="12" t="s">
        <v>155</v>
      </c>
      <c r="C629" s="12"/>
      <c r="D629" s="12"/>
      <c r="E629" s="12"/>
      <c r="F629" s="12"/>
      <c r="G629" s="12"/>
      <c r="H629" s="12"/>
      <c r="I629" s="12"/>
      <c r="J629" s="12"/>
      <c r="K629" s="12"/>
      <c r="L629" s="12"/>
      <c r="M629" s="12"/>
    </row>
    <row r="630" spans="2:13">
      <c r="B630" s="12" t="s">
        <v>156</v>
      </c>
      <c r="C630" s="12"/>
      <c r="D630" s="12"/>
      <c r="E630" s="12"/>
      <c r="F630" s="12"/>
      <c r="G630" s="12"/>
      <c r="H630" s="12"/>
      <c r="I630" s="12"/>
      <c r="J630" s="12"/>
      <c r="K630" s="12"/>
      <c r="L630" s="12"/>
      <c r="M630" s="12"/>
    </row>
    <row r="631" spans="2:13" ht="15">
      <c r="B631" s="14" t="s">
        <v>157</v>
      </c>
      <c r="C631" s="14"/>
      <c r="D631" s="14"/>
      <c r="E631" s="12"/>
      <c r="F631" s="12"/>
      <c r="G631" s="12"/>
      <c r="H631" s="12"/>
      <c r="I631" s="12"/>
      <c r="J631" s="12"/>
      <c r="K631" s="12"/>
      <c r="L631" s="12"/>
      <c r="M631" s="12"/>
    </row>
    <row r="632" spans="2:13" ht="9" customHeight="1">
      <c r="E632" s="10"/>
      <c r="F632" s="10"/>
      <c r="G632" s="10"/>
      <c r="H632" s="10"/>
      <c r="I632" s="10"/>
      <c r="J632" s="10"/>
      <c r="K632" s="10"/>
      <c r="L632" s="10"/>
      <c r="M632" s="10"/>
    </row>
    <row r="633" spans="2:13" ht="15">
      <c r="E633" s="10" t="s">
        <v>338</v>
      </c>
      <c r="F633" s="10"/>
      <c r="G633" s="10" t="s">
        <v>180</v>
      </c>
      <c r="H633" s="10"/>
      <c r="I633" s="10" t="s">
        <v>339</v>
      </c>
      <c r="J633" s="10"/>
      <c r="K633" s="10" t="s">
        <v>340</v>
      </c>
      <c r="L633" s="10"/>
      <c r="M633" s="10" t="s">
        <v>341</v>
      </c>
    </row>
    <row r="634" spans="2:13" ht="15">
      <c r="E634" s="10" t="s">
        <v>342</v>
      </c>
      <c r="F634" s="10"/>
      <c r="G634" s="10" t="s">
        <v>343</v>
      </c>
      <c r="H634" s="10"/>
      <c r="I634" s="10" t="s">
        <v>344</v>
      </c>
      <c r="J634" s="10"/>
      <c r="K634" s="10" t="s">
        <v>345</v>
      </c>
      <c r="L634" s="10"/>
      <c r="M634" s="10" t="s">
        <v>346</v>
      </c>
    </row>
    <row r="635" spans="2:13" ht="7.5" customHeight="1"/>
    <row r="636" spans="2:13">
      <c r="B636" s="1" t="str">
        <f>B15</f>
        <v>1.  County Treasurer Balance 6/30/2011 *</v>
      </c>
      <c r="E636" s="52"/>
      <c r="F636" s="46"/>
      <c r="G636" s="52"/>
      <c r="H636" s="46"/>
      <c r="I636" s="52"/>
      <c r="J636" s="46"/>
      <c r="K636" s="52"/>
      <c r="M636" s="52"/>
    </row>
    <row r="637" spans="2:13" ht="8.25" customHeight="1">
      <c r="B637" s="17"/>
      <c r="C637" s="17"/>
      <c r="D637" s="17"/>
      <c r="E637" s="53"/>
      <c r="F637" s="53"/>
      <c r="G637" s="53"/>
      <c r="H637" s="53"/>
      <c r="I637" s="53"/>
      <c r="J637" s="53"/>
      <c r="K637" s="53"/>
      <c r="M637" s="53"/>
    </row>
    <row r="638" spans="2:13">
      <c r="B638" s="1" t="str">
        <f>B17</f>
        <v>2.  2010 Actual Taxes Levied*</v>
      </c>
      <c r="E638" s="52"/>
      <c r="F638" s="46"/>
      <c r="G638" s="52"/>
      <c r="H638" s="46"/>
      <c r="I638" s="52"/>
      <c r="J638" s="46"/>
      <c r="K638" s="52"/>
      <c r="M638" s="52"/>
    </row>
    <row r="639" spans="2:13" ht="7.5" customHeight="1">
      <c r="E639" s="46"/>
      <c r="F639" s="46"/>
      <c r="G639" s="46"/>
      <c r="H639" s="46"/>
      <c r="I639" s="46"/>
      <c r="J639" s="46"/>
      <c r="K639" s="46"/>
      <c r="M639" s="46"/>
    </row>
    <row r="640" spans="2:13">
      <c r="B640" s="1" t="s">
        <v>330</v>
      </c>
      <c r="C640" s="33">
        <f>C552</f>
        <v>0</v>
      </c>
      <c r="D640" s="40"/>
      <c r="E640" s="15">
        <f>E638*$C$640/100</f>
        <v>0</v>
      </c>
      <c r="F640" s="15"/>
      <c r="G640" s="15">
        <f>G638*$C$640/100</f>
        <v>0</v>
      </c>
      <c r="H640" s="15"/>
      <c r="I640" s="15">
        <f>I638*$C$640/100</f>
        <v>0</v>
      </c>
      <c r="J640" s="15"/>
      <c r="K640" s="15">
        <f>K638*$C$640/100</f>
        <v>0</v>
      </c>
      <c r="L640" s="15"/>
      <c r="M640" s="15">
        <f>M638*$C$640/100</f>
        <v>0</v>
      </c>
    </row>
    <row r="641" spans="2:13" ht="7.5" customHeight="1">
      <c r="E641" s="46"/>
      <c r="F641" s="46"/>
      <c r="G641" s="46"/>
      <c r="H641" s="46"/>
      <c r="I641" s="46"/>
      <c r="J641" s="46"/>
      <c r="K641" s="46"/>
      <c r="M641" s="46"/>
    </row>
    <row r="642" spans="2:13">
      <c r="B642" s="1" t="str">
        <f>B21</f>
        <v>4.  Less:  Jan. 20, 2011 Taxes received**</v>
      </c>
      <c r="E642" s="52"/>
      <c r="F642" s="46"/>
      <c r="G642" s="52"/>
      <c r="H642" s="46"/>
      <c r="I642" s="52"/>
      <c r="J642" s="46"/>
      <c r="K642" s="52"/>
      <c r="M642" s="52"/>
    </row>
    <row r="643" spans="2:13" ht="6.75" customHeight="1">
      <c r="E643" s="16"/>
      <c r="F643" s="46"/>
      <c r="G643" s="46"/>
      <c r="H643" s="46"/>
      <c r="I643" s="46"/>
      <c r="J643" s="46"/>
      <c r="K643" s="46"/>
      <c r="M643" s="46"/>
    </row>
    <row r="644" spans="2:13">
      <c r="B644" s="1" t="str">
        <f>B23</f>
        <v>5.  Less:  Mar. 20, 2011  Taxes received**</v>
      </c>
      <c r="E644" s="52"/>
      <c r="F644" s="46"/>
      <c r="G644" s="52"/>
      <c r="H644" s="46"/>
      <c r="I644" s="52"/>
      <c r="J644" s="46"/>
      <c r="K644" s="52"/>
      <c r="M644" s="52"/>
    </row>
    <row r="645" spans="2:13" ht="8.25" customHeight="1">
      <c r="E645" s="56"/>
      <c r="F645" s="46"/>
      <c r="G645" s="56"/>
      <c r="H645" s="46"/>
      <c r="I645" s="56"/>
      <c r="J645" s="46"/>
      <c r="K645" s="56"/>
      <c r="M645" s="56"/>
    </row>
    <row r="646" spans="2:13">
      <c r="B646" s="1" t="str">
        <f>B25</f>
        <v>6.  Less:  June 5,  2011 Taxes received**</v>
      </c>
      <c r="E646" s="52"/>
      <c r="F646" s="46"/>
      <c r="G646" s="52"/>
      <c r="H646" s="46"/>
      <c r="I646" s="52"/>
      <c r="J646" s="46"/>
      <c r="K646" s="52"/>
      <c r="M646" s="52"/>
    </row>
    <row r="647" spans="2:13" ht="8.25" customHeight="1">
      <c r="E647" s="56"/>
      <c r="F647" s="46"/>
      <c r="G647" s="56"/>
      <c r="H647" s="46"/>
      <c r="I647" s="56"/>
      <c r="J647" s="46"/>
      <c r="K647" s="56"/>
      <c r="M647" s="56"/>
    </row>
    <row r="648" spans="2:13">
      <c r="B648" s="1" t="s">
        <v>286</v>
      </c>
      <c r="E648" s="52"/>
      <c r="F648" s="46"/>
      <c r="G648" s="52"/>
      <c r="H648" s="46"/>
      <c r="I648" s="52"/>
      <c r="J648" s="46"/>
      <c r="K648" s="52"/>
      <c r="M648" s="52"/>
    </row>
    <row r="649" spans="2:13" ht="8.25" customHeight="1">
      <c r="E649" s="46"/>
      <c r="F649" s="46"/>
      <c r="G649" s="46"/>
      <c r="H649" s="46"/>
      <c r="I649" s="46"/>
      <c r="J649" s="46"/>
      <c r="K649" s="46"/>
      <c r="M649" s="46"/>
    </row>
    <row r="650" spans="2:13">
      <c r="B650" s="1" t="s">
        <v>165</v>
      </c>
      <c r="E650" s="52"/>
      <c r="F650" s="46"/>
      <c r="G650" s="52"/>
      <c r="H650" s="46"/>
      <c r="I650" s="52"/>
      <c r="J650" s="46"/>
      <c r="K650" s="52"/>
      <c r="M650" s="52"/>
    </row>
    <row r="651" spans="2:13">
      <c r="B651" s="1" t="s">
        <v>166</v>
      </c>
      <c r="E651" s="54"/>
      <c r="F651" s="46"/>
      <c r="G651" s="54"/>
      <c r="H651" s="46"/>
      <c r="I651" s="54"/>
      <c r="J651" s="46"/>
      <c r="K651" s="54"/>
      <c r="M651" s="54"/>
    </row>
    <row r="652" spans="2:13">
      <c r="B652" s="1" t="s">
        <v>167</v>
      </c>
      <c r="E652" s="15">
        <f>SUM(E640:E651)</f>
        <v>0</v>
      </c>
      <c r="F652" s="21"/>
      <c r="G652" s="15">
        <f>SUM(G640:G651)</f>
        <v>0</v>
      </c>
      <c r="H652" s="21"/>
      <c r="I652" s="15">
        <f>SUM(I640:I651)</f>
        <v>0</v>
      </c>
      <c r="J652" s="21"/>
      <c r="K652" s="15">
        <f>SUM(K640:K651)</f>
        <v>0</v>
      </c>
      <c r="L652" s="40"/>
      <c r="M652" s="15">
        <f>SUM(M640:M651)</f>
        <v>0</v>
      </c>
    </row>
    <row r="653" spans="2:13" ht="8.25" customHeight="1">
      <c r="E653" s="16"/>
      <c r="F653" s="16"/>
      <c r="G653" s="16"/>
      <c r="H653" s="16"/>
      <c r="I653" s="16"/>
      <c r="J653" s="16"/>
      <c r="K653" s="16"/>
      <c r="L653" s="40"/>
      <c r="M653" s="16"/>
    </row>
    <row r="654" spans="2:13">
      <c r="B654" s="1" t="str">
        <f>B33</f>
        <v>11. 2010 taxes receivable (taxes in process</v>
      </c>
      <c r="E654" s="16"/>
      <c r="F654" s="16"/>
      <c r="G654" s="16"/>
      <c r="H654" s="16"/>
      <c r="I654" s="16"/>
      <c r="J654" s="16"/>
      <c r="K654" s="16"/>
      <c r="L654" s="40"/>
      <c r="M654" s="16"/>
    </row>
    <row r="655" spans="2:13">
      <c r="B655" s="1" t="str">
        <f>B34</f>
        <v xml:space="preserve">     of collection 6/30/2011)(Line 2 less Line 10)</v>
      </c>
      <c r="E655" s="15">
        <f>IF(E652&lt;=0,0,E638-E652)</f>
        <v>0</v>
      </c>
      <c r="F655" s="21"/>
      <c r="G655" s="15">
        <f>IF(G652&lt;=0,0,G638-G652)</f>
        <v>0</v>
      </c>
      <c r="H655" s="21"/>
      <c r="I655" s="15">
        <f>IF(I652&lt;=0,0,I638-I652)</f>
        <v>0</v>
      </c>
      <c r="J655" s="21"/>
      <c r="K655" s="15">
        <f>IF(K652&lt;=0,0,K638-K652)</f>
        <v>0</v>
      </c>
      <c r="L655" s="21"/>
      <c r="M655" s="15">
        <f>IF(M652&lt;=0,0,M638-M652)</f>
        <v>0</v>
      </c>
    </row>
    <row r="656" spans="2:13" ht="8.25" customHeight="1">
      <c r="E656" s="16"/>
      <c r="F656" s="16"/>
      <c r="G656" s="16"/>
      <c r="H656" s="16"/>
      <c r="I656" s="16"/>
      <c r="J656" s="16"/>
      <c r="K656" s="16"/>
      <c r="L656" s="40"/>
      <c r="M656" s="16"/>
    </row>
    <row r="657" spans="2:14">
      <c r="B657" s="1" t="s">
        <v>236</v>
      </c>
      <c r="E657" s="16"/>
      <c r="F657" s="16"/>
      <c r="G657" s="16"/>
      <c r="H657" s="16"/>
      <c r="I657" s="16"/>
      <c r="J657" s="16"/>
      <c r="K657" s="16"/>
      <c r="L657" s="40"/>
      <c r="M657" s="16"/>
    </row>
    <row r="658" spans="2:14">
      <c r="B658" s="1" t="s">
        <v>289</v>
      </c>
      <c r="E658" s="16"/>
      <c r="F658" s="16"/>
      <c r="G658" s="16"/>
      <c r="H658" s="16"/>
      <c r="I658" s="16"/>
      <c r="J658" s="16"/>
      <c r="K658" s="16"/>
      <c r="L658" s="40"/>
      <c r="M658" s="16"/>
    </row>
    <row r="659" spans="2:14">
      <c r="B659" s="1" t="str">
        <f>B38</f>
        <v xml:space="preserve">     (7-1-2011 to 12-31-2012) (Line 3 x 75%)</v>
      </c>
      <c r="E659" s="15">
        <f>SUM(E640*0.75)</f>
        <v>0</v>
      </c>
      <c r="F659" s="21"/>
      <c r="G659" s="15">
        <f>SUM(G640*0.75)</f>
        <v>0</v>
      </c>
      <c r="H659" s="21"/>
      <c r="I659" s="15">
        <f>SUM(I640*0.75)</f>
        <v>0</v>
      </c>
      <c r="J659" s="21"/>
      <c r="K659" s="15">
        <f>SUM(K640*0.75)</f>
        <v>0</v>
      </c>
      <c r="L659" s="40"/>
      <c r="M659" s="15">
        <f>SUM(M640*0.75)</f>
        <v>0</v>
      </c>
    </row>
    <row r="660" spans="2:14" ht="6.75" customHeight="1">
      <c r="E660" s="40"/>
      <c r="F660" s="40"/>
      <c r="G660" s="40"/>
      <c r="H660" s="40"/>
      <c r="I660" s="40"/>
      <c r="J660" s="40"/>
      <c r="K660" s="40"/>
      <c r="L660" s="40"/>
      <c r="M660" s="40"/>
    </row>
    <row r="661" spans="2:14" ht="15">
      <c r="B661" s="35" t="str">
        <f>B40</f>
        <v>Tax Collection Ratio (Jan, Mar, June)</v>
      </c>
      <c r="E661" s="51">
        <f>IF(E638&lt;&gt;0,(E642+E644+E646+E648+E650)/E638*100,0)</f>
        <v>0</v>
      </c>
      <c r="F661" s="26" t="s">
        <v>290</v>
      </c>
      <c r="G661" s="51">
        <f>IF(G638&lt;&gt;0,(G642+G644+G646+G648+G650)/G638*100,0)</f>
        <v>0</v>
      </c>
      <c r="H661" s="26" t="s">
        <v>290</v>
      </c>
      <c r="I661" s="51">
        <f>IF(I638&lt;&gt;0,(I642+I644+I646+I648+I650)/I638*100,0)</f>
        <v>0</v>
      </c>
      <c r="J661" s="26" t="s">
        <v>290</v>
      </c>
      <c r="K661" s="51">
        <f>IF(K638&lt;&gt;0,(K642+K644+K646+K648+K650)/K638*100,0)</f>
        <v>0</v>
      </c>
      <c r="L661" s="26" t="s">
        <v>290</v>
      </c>
      <c r="M661" s="51">
        <f>IF(M638&lt;&gt;0,(M642+M644+M646+M648+M650)/M638*100,0)</f>
        <v>0</v>
      </c>
      <c r="N661" s="24" t="s">
        <v>290</v>
      </c>
    </row>
    <row r="662" spans="2:14" ht="5.25" customHeight="1"/>
    <row r="663" spans="2:14">
      <c r="B663" s="1" t="str">
        <f>B98</f>
        <v>*Amounts are available from the County Treasurer.       **These Jan.-June, 2011 amounts are available from the County Treasurer.  (Does not</v>
      </c>
    </row>
    <row r="664" spans="2:14">
      <c r="B664" s="1" t="str">
        <f>B99</f>
        <v xml:space="preserve"> include MVPT.  Should correspond to school records.)</v>
      </c>
    </row>
    <row r="665" spans="2:14" ht="15">
      <c r="B665" s="1" t="s">
        <v>148</v>
      </c>
      <c r="M665" s="2" t="s">
        <v>347</v>
      </c>
    </row>
    <row r="666" spans="2:14">
      <c r="B666" s="3">
        <f>B2</f>
        <v>40664</v>
      </c>
      <c r="C666" s="4"/>
      <c r="D666" s="4"/>
      <c r="G666" s="6" t="s">
        <v>150</v>
      </c>
      <c r="H666" s="6"/>
      <c r="I666" s="8" t="str">
        <f>I535</f>
        <v>395 - LaCrosse</v>
      </c>
      <c r="J666" s="8"/>
      <c r="K666" s="8"/>
      <c r="L666" s="6" t="s">
        <v>151</v>
      </c>
      <c r="M666" s="9">
        <f>M535</f>
        <v>395</v>
      </c>
    </row>
    <row r="667" spans="2:14">
      <c r="K667" s="6" t="s">
        <v>153</v>
      </c>
      <c r="M667" s="8" t="str">
        <f>M536</f>
        <v>TREGO</v>
      </c>
    </row>
    <row r="668" spans="2:14" ht="8.25" customHeight="1">
      <c r="E668" s="12"/>
      <c r="F668" s="12"/>
      <c r="G668" s="12"/>
      <c r="H668" s="12"/>
      <c r="I668" s="12"/>
      <c r="J668" s="12"/>
      <c r="K668" s="13"/>
      <c r="L668" s="13"/>
      <c r="M668" s="12"/>
    </row>
    <row r="669" spans="2:14">
      <c r="B669" s="12" t="str">
        <f>B6</f>
        <v>2011-2012</v>
      </c>
      <c r="C669" s="12"/>
      <c r="D669" s="12"/>
      <c r="E669" s="12"/>
      <c r="F669" s="12"/>
      <c r="G669" s="12"/>
      <c r="H669" s="12"/>
      <c r="I669" s="12"/>
      <c r="J669" s="12"/>
      <c r="K669" s="12"/>
      <c r="L669" s="12"/>
      <c r="M669" s="12"/>
    </row>
    <row r="670" spans="2:14">
      <c r="B670" s="12" t="s">
        <v>155</v>
      </c>
      <c r="C670" s="12"/>
      <c r="D670" s="12"/>
      <c r="E670" s="12"/>
      <c r="F670" s="12"/>
      <c r="G670" s="12"/>
      <c r="H670" s="12"/>
      <c r="I670" s="12"/>
      <c r="J670" s="12"/>
      <c r="K670" s="12"/>
      <c r="L670" s="12"/>
      <c r="M670" s="12"/>
    </row>
    <row r="671" spans="2:14">
      <c r="B671" s="12" t="s">
        <v>156</v>
      </c>
      <c r="C671" s="12"/>
      <c r="D671" s="12"/>
      <c r="E671" s="12"/>
      <c r="F671" s="12"/>
      <c r="G671" s="12"/>
      <c r="H671" s="12"/>
      <c r="I671" s="12"/>
      <c r="J671" s="12"/>
      <c r="K671" s="12"/>
      <c r="L671" s="12"/>
      <c r="M671" s="12"/>
    </row>
    <row r="672" spans="2:14" ht="15">
      <c r="B672" s="14" t="s">
        <v>157</v>
      </c>
      <c r="C672" s="14"/>
      <c r="D672" s="14"/>
      <c r="E672" s="12"/>
      <c r="F672" s="12"/>
      <c r="G672" s="12"/>
      <c r="H672" s="12"/>
      <c r="I672" s="12"/>
      <c r="J672" s="12"/>
      <c r="K672" s="12"/>
      <c r="L672" s="12"/>
      <c r="M672" s="12"/>
    </row>
    <row r="673" spans="2:13" ht="8.25" customHeight="1">
      <c r="E673" s="10"/>
      <c r="F673" s="10"/>
      <c r="G673" s="10"/>
      <c r="H673" s="10"/>
      <c r="I673" s="10"/>
      <c r="J673" s="10"/>
      <c r="K673" s="10"/>
      <c r="L673" s="10"/>
      <c r="M673" s="10"/>
    </row>
    <row r="674" spans="2:13" ht="15">
      <c r="E674" s="465"/>
      <c r="F674" s="10"/>
      <c r="G674" s="10" t="str">
        <f>G150</f>
        <v>Rec. Comm</v>
      </c>
      <c r="H674" s="10"/>
      <c r="I674" s="10" t="s">
        <v>348</v>
      </c>
      <c r="J674" s="10"/>
      <c r="K674" s="35" t="s">
        <v>349</v>
      </c>
      <c r="L674" s="10"/>
      <c r="M674" s="40"/>
    </row>
    <row r="675" spans="2:13" ht="15">
      <c r="E675" s="466" t="s">
        <v>188</v>
      </c>
      <c r="F675" s="10"/>
      <c r="G675" s="10" t="str">
        <f>G151</f>
        <v>Emp Benef</v>
      </c>
      <c r="H675" s="10"/>
      <c r="I675" s="10" t="s">
        <v>350</v>
      </c>
      <c r="J675" s="10"/>
      <c r="K675" s="10" t="s">
        <v>351</v>
      </c>
      <c r="L675" s="10"/>
      <c r="M675" s="466" t="s">
        <v>439</v>
      </c>
    </row>
    <row r="676" spans="2:13" ht="15">
      <c r="E676" s="466" t="s">
        <v>89</v>
      </c>
      <c r="G676" s="10" t="str">
        <f>G152</f>
        <v>&amp; Spec Liab</v>
      </c>
      <c r="I676" s="10" t="s">
        <v>352</v>
      </c>
      <c r="K676" s="10" t="s">
        <v>353</v>
      </c>
      <c r="M676" s="466" t="s">
        <v>440</v>
      </c>
    </row>
    <row r="677" spans="2:13" ht="7.5" customHeight="1">
      <c r="G677" s="35"/>
    </row>
    <row r="678" spans="2:13">
      <c r="B678" s="1" t="str">
        <f>B15</f>
        <v>1.  County Treasurer Balance 6/30/2011 *</v>
      </c>
      <c r="E678" s="488"/>
      <c r="F678" s="46"/>
      <c r="G678" s="52"/>
      <c r="H678" s="46"/>
      <c r="I678" s="52"/>
      <c r="J678" s="46"/>
      <c r="K678" s="52"/>
      <c r="M678" s="488"/>
    </row>
    <row r="679" spans="2:13" ht="6.75" customHeight="1">
      <c r="B679" s="17"/>
      <c r="C679" s="17"/>
      <c r="D679" s="17"/>
      <c r="E679" s="53"/>
      <c r="F679" s="53"/>
      <c r="G679" s="53"/>
      <c r="H679" s="53"/>
      <c r="I679" s="53"/>
      <c r="J679" s="53"/>
      <c r="K679" s="53"/>
      <c r="M679" s="53"/>
    </row>
    <row r="680" spans="2:13">
      <c r="B680" s="1" t="str">
        <f>B17</f>
        <v>2.  2010 Actual Taxes Levied*</v>
      </c>
      <c r="E680" s="488"/>
      <c r="F680" s="46"/>
      <c r="G680" s="52"/>
      <c r="H680" s="46"/>
      <c r="I680" s="52"/>
      <c r="J680" s="46"/>
      <c r="K680" s="52"/>
      <c r="M680" s="488"/>
    </row>
    <row r="681" spans="2:13" ht="6.75" customHeight="1">
      <c r="E681" s="46"/>
      <c r="F681" s="46"/>
      <c r="G681" s="46"/>
      <c r="H681" s="46"/>
      <c r="I681" s="46"/>
      <c r="J681" s="46"/>
      <c r="K681" s="46"/>
      <c r="M681" s="46"/>
    </row>
    <row r="682" spans="2:13">
      <c r="B682" s="1" t="s">
        <v>330</v>
      </c>
      <c r="C682" s="33">
        <f>C552</f>
        <v>0</v>
      </c>
      <c r="D682" s="40"/>
      <c r="E682" s="469">
        <f>E680*$C$682/100</f>
        <v>0</v>
      </c>
      <c r="F682" s="15"/>
      <c r="G682" s="15">
        <f>G680*$C$682/100</f>
        <v>0</v>
      </c>
      <c r="H682" s="15"/>
      <c r="I682" s="15">
        <f>I680*$C$682/100</f>
        <v>0</v>
      </c>
      <c r="J682" s="15"/>
      <c r="K682" s="15">
        <f>K680*$C$682/100</f>
        <v>0</v>
      </c>
      <c r="L682" s="15"/>
      <c r="M682" s="15">
        <f>M680*$C$682/100</f>
        <v>0</v>
      </c>
    </row>
    <row r="683" spans="2:13" ht="8.25" customHeight="1">
      <c r="E683" s="46"/>
      <c r="F683" s="46"/>
      <c r="G683" s="46"/>
      <c r="H683" s="46"/>
      <c r="I683" s="46"/>
      <c r="J683" s="46"/>
      <c r="K683" s="46"/>
      <c r="M683" s="46"/>
    </row>
    <row r="684" spans="2:13">
      <c r="B684" s="1" t="str">
        <f>B21</f>
        <v>4.  Less:  Jan. 20, 2011 Taxes received**</v>
      </c>
      <c r="E684" s="488"/>
      <c r="F684" s="46"/>
      <c r="G684" s="52"/>
      <c r="H684" s="46"/>
      <c r="I684" s="52"/>
      <c r="J684" s="46"/>
      <c r="K684" s="52"/>
      <c r="M684" s="488"/>
    </row>
    <row r="685" spans="2:13" ht="7.5" customHeight="1">
      <c r="E685" s="46"/>
      <c r="F685" s="46"/>
      <c r="G685" s="46"/>
      <c r="H685" s="46"/>
      <c r="I685" s="46"/>
      <c r="J685" s="46"/>
      <c r="K685" s="46"/>
      <c r="M685" s="46"/>
    </row>
    <row r="686" spans="2:13">
      <c r="B686" s="1" t="str">
        <f>B23</f>
        <v>5.  Less:  Mar. 20, 2011  Taxes received**</v>
      </c>
      <c r="E686" s="488"/>
      <c r="F686" s="46"/>
      <c r="G686" s="52"/>
      <c r="H686" s="46"/>
      <c r="I686" s="52"/>
      <c r="J686" s="46"/>
      <c r="K686" s="52"/>
      <c r="M686" s="488"/>
    </row>
    <row r="687" spans="2:13" ht="8.25" customHeight="1">
      <c r="E687" s="56"/>
      <c r="F687" s="46"/>
      <c r="G687" s="56"/>
      <c r="H687" s="46"/>
      <c r="I687" s="56"/>
      <c r="J687" s="46"/>
      <c r="K687" s="56"/>
      <c r="M687" s="56"/>
    </row>
    <row r="688" spans="2:13">
      <c r="B688" s="1" t="str">
        <f>B25</f>
        <v>6.  Less:  June 5,  2011 Taxes received**</v>
      </c>
      <c r="E688" s="488"/>
      <c r="F688" s="46"/>
      <c r="G688" s="52"/>
      <c r="H688" s="46"/>
      <c r="I688" s="52"/>
      <c r="J688" s="46"/>
      <c r="K688" s="52"/>
      <c r="M688" s="488"/>
    </row>
    <row r="689" spans="2:14" ht="7.5" customHeight="1">
      <c r="E689" s="56"/>
      <c r="F689" s="46"/>
      <c r="G689" s="56"/>
      <c r="H689" s="46"/>
      <c r="I689" s="56"/>
      <c r="J689" s="46"/>
      <c r="K689" s="56"/>
      <c r="M689" s="56"/>
    </row>
    <row r="690" spans="2:14">
      <c r="B690" s="1" t="s">
        <v>286</v>
      </c>
      <c r="E690" s="488"/>
      <c r="F690" s="46"/>
      <c r="G690" s="52"/>
      <c r="H690" s="46"/>
      <c r="I690" s="52"/>
      <c r="J690" s="46"/>
      <c r="K690" s="52"/>
      <c r="M690" s="488"/>
    </row>
    <row r="691" spans="2:14" ht="7.5" customHeight="1">
      <c r="E691" s="46"/>
      <c r="F691" s="46"/>
      <c r="G691" s="46"/>
      <c r="H691" s="46"/>
      <c r="I691" s="46"/>
      <c r="J691" s="46"/>
      <c r="K691" s="46"/>
      <c r="M691" s="46"/>
    </row>
    <row r="692" spans="2:14">
      <c r="B692" s="1" t="s">
        <v>165</v>
      </c>
      <c r="E692" s="488"/>
      <c r="F692" s="46"/>
      <c r="G692" s="52"/>
      <c r="H692" s="46"/>
      <c r="I692" s="52"/>
      <c r="J692" s="46"/>
      <c r="K692" s="52"/>
      <c r="M692" s="488"/>
    </row>
    <row r="693" spans="2:14">
      <c r="B693" s="1" t="s">
        <v>166</v>
      </c>
      <c r="E693" s="489"/>
      <c r="F693" s="46"/>
      <c r="G693" s="54"/>
      <c r="H693" s="46"/>
      <c r="I693" s="54"/>
      <c r="J693" s="46"/>
      <c r="K693" s="54"/>
      <c r="M693" s="489"/>
    </row>
    <row r="694" spans="2:14">
      <c r="B694" s="1" t="s">
        <v>357</v>
      </c>
      <c r="E694" s="469">
        <f>SUM(E682:E693)</f>
        <v>0</v>
      </c>
      <c r="F694" s="21"/>
      <c r="G694" s="15">
        <f>SUM(G682:G693)</f>
        <v>0</v>
      </c>
      <c r="H694" s="21"/>
      <c r="I694" s="15">
        <f>SUM(I682:I693)</f>
        <v>0</v>
      </c>
      <c r="J694" s="21"/>
      <c r="K694" s="15">
        <f>SUM(K682:K693)</f>
        <v>0</v>
      </c>
      <c r="L694" s="40"/>
      <c r="M694" s="15">
        <f>SUM(M682:M693)</f>
        <v>0</v>
      </c>
    </row>
    <row r="695" spans="2:14" ht="8.25" customHeight="1">
      <c r="E695" s="16"/>
      <c r="F695" s="16"/>
      <c r="G695" s="16"/>
      <c r="H695" s="16"/>
      <c r="I695" s="16"/>
      <c r="J695" s="16"/>
      <c r="K695" s="16"/>
      <c r="L695" s="40"/>
      <c r="M695" s="16"/>
    </row>
    <row r="696" spans="2:14">
      <c r="B696" s="1" t="str">
        <f>B33</f>
        <v>11. 2010 taxes receivable (taxes in process</v>
      </c>
      <c r="E696" s="16"/>
      <c r="F696" s="16"/>
      <c r="G696" s="16"/>
      <c r="H696" s="16"/>
      <c r="I696" s="16"/>
      <c r="J696" s="16"/>
      <c r="K696" s="16"/>
      <c r="L696" s="40"/>
      <c r="M696" s="16"/>
    </row>
    <row r="697" spans="2:14">
      <c r="B697" s="1" t="str">
        <f>B34</f>
        <v xml:space="preserve">     of collection 6/30/2011)(Line 2 less Line 10)</v>
      </c>
      <c r="E697" s="469">
        <f>IF(E694&lt;=0,0,E680-E694)</f>
        <v>0</v>
      </c>
      <c r="F697" s="21"/>
      <c r="G697" s="15">
        <f>IF(G694&lt;=0,0,G680-G694)</f>
        <v>0</v>
      </c>
      <c r="H697" s="21"/>
      <c r="I697" s="15">
        <f>IF(I694&lt;=0,0,I680-I694)</f>
        <v>0</v>
      </c>
      <c r="J697" s="21"/>
      <c r="K697" s="15">
        <f>IF(K694&lt;=0,0,K680-K694)</f>
        <v>0</v>
      </c>
      <c r="L697" s="21"/>
      <c r="M697" s="15">
        <f>IF(M694&lt;=0,0,M680-M694)</f>
        <v>0</v>
      </c>
    </row>
    <row r="698" spans="2:14" ht="8.25" customHeight="1">
      <c r="E698" s="16"/>
      <c r="F698" s="16"/>
      <c r="G698" s="16"/>
      <c r="H698" s="16"/>
      <c r="I698" s="16"/>
      <c r="J698" s="16"/>
      <c r="K698" s="16"/>
      <c r="L698" s="40"/>
      <c r="M698" s="16"/>
    </row>
    <row r="699" spans="2:14">
      <c r="B699" s="1" t="s">
        <v>236</v>
      </c>
      <c r="E699" s="16"/>
      <c r="F699" s="16"/>
      <c r="G699" s="16"/>
      <c r="H699" s="16"/>
      <c r="I699" s="16"/>
      <c r="J699" s="16"/>
      <c r="K699" s="16"/>
      <c r="L699" s="40"/>
      <c r="M699" s="16"/>
    </row>
    <row r="700" spans="2:14">
      <c r="B700" s="1" t="s">
        <v>289</v>
      </c>
      <c r="E700" s="16"/>
      <c r="F700" s="16"/>
      <c r="G700" s="16"/>
      <c r="H700" s="16"/>
      <c r="I700" s="16"/>
      <c r="J700" s="16"/>
      <c r="K700" s="16"/>
      <c r="L700" s="40"/>
      <c r="M700" s="16"/>
    </row>
    <row r="701" spans="2:14">
      <c r="B701" s="1" t="str">
        <f>B38</f>
        <v xml:space="preserve">     (7-1-2011 to 12-31-2012) (Line 3 x 75%)</v>
      </c>
      <c r="E701" s="469">
        <f>SUM(E682*0.75)</f>
        <v>0</v>
      </c>
      <c r="F701" s="21"/>
      <c r="G701" s="15">
        <f>SUM(G682*0.75)</f>
        <v>0</v>
      </c>
      <c r="H701" s="21"/>
      <c r="I701" s="15">
        <f>SUM(I682*0.75)</f>
        <v>0</v>
      </c>
      <c r="J701" s="21"/>
      <c r="K701" s="15">
        <f>SUM(K682*0.75)</f>
        <v>0</v>
      </c>
      <c r="L701" s="40"/>
      <c r="M701" s="15">
        <f>SUM(M682*0.75)</f>
        <v>0</v>
      </c>
    </row>
    <row r="702" spans="2:14" ht="15">
      <c r="B702" s="35" t="str">
        <f>B40</f>
        <v>Tax Collection Ratio (Jan, Mar, June)</v>
      </c>
      <c r="E702" s="51">
        <f>IF(E680&lt;&gt;0,(E684+E686+E688+E690+E692)/E680*100,0)</f>
        <v>0</v>
      </c>
      <c r="F702" s="26" t="s">
        <v>290</v>
      </c>
      <c r="G702" s="51">
        <f>IF(G680&lt;&gt;0,(G684+G686+G688+G690+G692)/G680*100,0)</f>
        <v>0</v>
      </c>
      <c r="H702" s="26" t="s">
        <v>290</v>
      </c>
      <c r="I702" s="51">
        <f>IF(I680&lt;&gt;0,(I684+I686+I688+I690+I692)/I680*100,0)</f>
        <v>0</v>
      </c>
      <c r="J702" s="26" t="s">
        <v>290</v>
      </c>
      <c r="K702" s="51">
        <f>IF(K680&lt;&gt;0,(K684+K686+K688+K690+K692)/K680*100,0)</f>
        <v>0</v>
      </c>
      <c r="L702" s="26" t="s">
        <v>290</v>
      </c>
      <c r="M702" s="51">
        <f>IF(M680&lt;&gt;0,(M684+M686+M688+M690+M692)/M680*100,0)</f>
        <v>0</v>
      </c>
      <c r="N702" s="24" t="s">
        <v>290</v>
      </c>
    </row>
    <row r="703" spans="2:14" ht="3.75" customHeight="1"/>
    <row r="704" spans="2:14" ht="15" customHeight="1">
      <c r="B704" s="1" t="str">
        <f>B98</f>
        <v>*Amounts are available from the County Treasurer.       **These Jan.-June, 2011 amounts are available from the County Treasurer.  (Does not</v>
      </c>
    </row>
    <row r="705" spans="2:13">
      <c r="B705" s="1" t="str">
        <f>B99</f>
        <v xml:space="preserve"> include MVPT.  Should correspond to school records.)</v>
      </c>
    </row>
    <row r="706" spans="2:13" ht="15">
      <c r="B706" s="1" t="s">
        <v>148</v>
      </c>
      <c r="M706" s="2" t="s">
        <v>149</v>
      </c>
    </row>
    <row r="707" spans="2:13">
      <c r="B707" s="3">
        <f>B2</f>
        <v>40664</v>
      </c>
      <c r="C707" s="4"/>
      <c r="D707" s="4"/>
      <c r="F707" s="6"/>
      <c r="G707" s="6" t="s">
        <v>150</v>
      </c>
      <c r="H707" s="6"/>
      <c r="I707" s="7" t="str">
        <f>I2</f>
        <v>395 - LaCrosse</v>
      </c>
      <c r="J707" s="8"/>
      <c r="K707" s="8"/>
      <c r="L707" s="6" t="s">
        <v>151</v>
      </c>
      <c r="M707" s="9">
        <f>M2</f>
        <v>395</v>
      </c>
    </row>
    <row r="708" spans="2:13">
      <c r="K708" s="6" t="s">
        <v>153</v>
      </c>
      <c r="M708" s="57" t="s">
        <v>689</v>
      </c>
    </row>
    <row r="709" spans="2:13" ht="7.5" customHeight="1">
      <c r="E709" s="12"/>
      <c r="F709" s="12"/>
      <c r="G709" s="12"/>
      <c r="H709" s="12"/>
      <c r="I709" s="12"/>
      <c r="J709" s="12"/>
      <c r="K709" s="13"/>
      <c r="L709" s="13"/>
      <c r="M709" s="12"/>
    </row>
    <row r="710" spans="2:13" ht="9" customHeight="1">
      <c r="E710" s="12"/>
      <c r="F710" s="12"/>
      <c r="G710" s="12"/>
      <c r="H710" s="12"/>
      <c r="I710" s="12"/>
      <c r="J710" s="12"/>
      <c r="K710" s="13"/>
      <c r="L710" s="13"/>
      <c r="M710" s="12"/>
    </row>
    <row r="711" spans="2:13">
      <c r="B711" s="12" t="str">
        <f>B6</f>
        <v>2011-2012</v>
      </c>
      <c r="C711" s="12"/>
      <c r="D711" s="12"/>
      <c r="E711" s="12"/>
      <c r="F711" s="12"/>
      <c r="G711" s="12"/>
      <c r="H711" s="12"/>
      <c r="I711" s="12"/>
      <c r="J711" s="12"/>
      <c r="K711" s="12"/>
      <c r="L711" s="12"/>
      <c r="M711" s="12"/>
    </row>
    <row r="712" spans="2:13">
      <c r="B712" s="12" t="s">
        <v>155</v>
      </c>
      <c r="C712" s="12"/>
      <c r="D712" s="12"/>
      <c r="E712" s="12"/>
      <c r="F712" s="12"/>
      <c r="G712" s="12"/>
      <c r="H712" s="12"/>
      <c r="I712" s="12"/>
      <c r="J712" s="12"/>
      <c r="K712" s="12"/>
      <c r="L712" s="12"/>
      <c r="M712" s="12"/>
    </row>
    <row r="713" spans="2:13">
      <c r="B713" s="12" t="s">
        <v>156</v>
      </c>
      <c r="C713" s="12"/>
      <c r="D713" s="12"/>
      <c r="E713" s="12"/>
      <c r="F713" s="12"/>
      <c r="G713" s="12"/>
      <c r="H713" s="12"/>
      <c r="I713" s="12"/>
      <c r="J713" s="12"/>
      <c r="K713" s="12"/>
      <c r="L713" s="12"/>
      <c r="M713" s="12"/>
    </row>
    <row r="714" spans="2:13" ht="15">
      <c r="B714" s="14" t="s">
        <v>157</v>
      </c>
      <c r="C714" s="14"/>
      <c r="D714" s="14"/>
      <c r="E714" s="12"/>
      <c r="F714" s="12"/>
      <c r="G714" s="12"/>
      <c r="H714" s="12"/>
      <c r="I714" s="12"/>
      <c r="J714" s="12"/>
      <c r="K714" s="12"/>
      <c r="L714" s="12"/>
      <c r="M714" s="12"/>
    </row>
    <row r="715" spans="2:13" ht="8.25" customHeight="1"/>
    <row r="716" spans="2:13" ht="15">
      <c r="E716" s="10"/>
      <c r="F716" s="10"/>
      <c r="G716" s="10" t="s">
        <v>158</v>
      </c>
      <c r="H716" s="10"/>
      <c r="I716" s="10" t="s">
        <v>159</v>
      </c>
      <c r="J716" s="10"/>
      <c r="K716" s="10" t="s">
        <v>160</v>
      </c>
      <c r="L716" s="10"/>
      <c r="M716" s="10"/>
    </row>
    <row r="717" spans="2:13" ht="15">
      <c r="E717" s="10" t="s">
        <v>280</v>
      </c>
      <c r="F717" s="10"/>
      <c r="G717" s="10" t="s">
        <v>280</v>
      </c>
      <c r="H717" s="10"/>
      <c r="I717" s="10" t="s">
        <v>281</v>
      </c>
      <c r="J717" s="10"/>
      <c r="K717" s="10" t="s">
        <v>282</v>
      </c>
      <c r="L717" s="10"/>
      <c r="M717" s="10" t="s">
        <v>283</v>
      </c>
    </row>
    <row r="718" spans="2:13" ht="15">
      <c r="E718" s="10" t="s">
        <v>284</v>
      </c>
      <c r="F718" s="10"/>
      <c r="G718" s="10" t="s">
        <v>284</v>
      </c>
      <c r="H718" s="10"/>
      <c r="I718" s="10" t="s">
        <v>284</v>
      </c>
      <c r="J718" s="10"/>
      <c r="K718" s="10" t="str">
        <f>K13</f>
        <v>Fund #1</v>
      </c>
      <c r="L718" s="10"/>
      <c r="M718" s="10" t="str">
        <f>M13</f>
        <v>Fund</v>
      </c>
    </row>
    <row r="719" spans="2:13" ht="8.25" customHeight="1"/>
    <row r="720" spans="2:13">
      <c r="B720" s="1" t="str">
        <f>B15</f>
        <v>1.  County Treasurer Balance 6/30/2011 *</v>
      </c>
      <c r="E720" s="52"/>
      <c r="F720" s="46"/>
      <c r="G720" s="52"/>
      <c r="H720" s="46"/>
      <c r="I720" s="52"/>
      <c r="J720" s="46"/>
      <c r="K720" s="52"/>
      <c r="L720" s="46"/>
      <c r="M720" s="52"/>
    </row>
    <row r="721" spans="2:13" ht="7.5" customHeight="1">
      <c r="B721" s="17"/>
      <c r="C721" s="17"/>
      <c r="D721" s="17"/>
      <c r="E721" s="53"/>
      <c r="F721" s="53"/>
      <c r="G721" s="53"/>
      <c r="H721" s="53"/>
      <c r="I721" s="53"/>
      <c r="J721" s="53"/>
      <c r="K721" s="53"/>
      <c r="L721" s="53"/>
      <c r="M721" s="53"/>
    </row>
    <row r="722" spans="2:13">
      <c r="B722" s="1" t="str">
        <f>B17</f>
        <v>2.  2010 Actual Taxes Levied*</v>
      </c>
      <c r="E722" s="52">
        <v>2415</v>
      </c>
      <c r="F722" s="46"/>
      <c r="G722" s="52">
        <v>2742</v>
      </c>
      <c r="H722" s="46"/>
      <c r="I722" s="52">
        <v>372</v>
      </c>
      <c r="J722" s="46"/>
      <c r="K722" s="52"/>
      <c r="L722" s="46"/>
      <c r="M722" s="52"/>
    </row>
    <row r="723" spans="2:13" ht="8.25" customHeight="1">
      <c r="E723" s="46"/>
      <c r="F723" s="46"/>
      <c r="G723" s="46"/>
      <c r="H723" s="46"/>
      <c r="I723" s="46"/>
      <c r="J723" s="46"/>
      <c r="K723" s="46"/>
      <c r="L723" s="46"/>
      <c r="M723" s="46"/>
    </row>
    <row r="724" spans="2:13">
      <c r="B724" s="1" t="s">
        <v>285</v>
      </c>
      <c r="C724" s="19">
        <v>0</v>
      </c>
      <c r="E724" s="15">
        <f>SUM(E722*$C$724/100)</f>
        <v>0</v>
      </c>
      <c r="F724" s="15"/>
      <c r="G724" s="15">
        <f>SUM(G722*$C$724/100)</f>
        <v>0</v>
      </c>
      <c r="H724" s="15"/>
      <c r="I724" s="15">
        <f>SUM(I722*$C$724/100)</f>
        <v>0</v>
      </c>
      <c r="J724" s="15"/>
      <c r="K724" s="15">
        <f>SUM(K722*$C$724/100)</f>
        <v>0</v>
      </c>
      <c r="L724" s="15"/>
      <c r="M724" s="15">
        <f>SUM(M722*$C$724/100)</f>
        <v>0</v>
      </c>
    </row>
    <row r="725" spans="2:13" ht="7.5" customHeight="1">
      <c r="E725" s="46"/>
      <c r="F725" s="46"/>
      <c r="G725" s="46"/>
      <c r="H725" s="46"/>
      <c r="I725" s="46"/>
      <c r="J725" s="46"/>
      <c r="K725" s="46"/>
      <c r="L725" s="46"/>
      <c r="M725" s="46"/>
    </row>
    <row r="726" spans="2:13">
      <c r="B726" s="1" t="str">
        <f>B21</f>
        <v>4.  Less:  Jan. 20, 2011 Taxes received**</v>
      </c>
      <c r="C726" s="6"/>
      <c r="E726" s="52">
        <v>1824</v>
      </c>
      <c r="F726" s="46"/>
      <c r="G726" s="52">
        <v>2091</v>
      </c>
      <c r="H726" s="46"/>
      <c r="I726" s="52">
        <v>284</v>
      </c>
      <c r="J726" s="46"/>
      <c r="K726" s="52"/>
      <c r="L726" s="46"/>
      <c r="M726" s="52"/>
    </row>
    <row r="727" spans="2:13" ht="7.5" customHeight="1">
      <c r="E727" s="46"/>
      <c r="F727" s="46"/>
      <c r="G727" s="46"/>
      <c r="H727" s="46"/>
      <c r="I727" s="16"/>
      <c r="J727" s="46"/>
      <c r="K727" s="46"/>
      <c r="L727" s="46"/>
      <c r="M727" s="46"/>
    </row>
    <row r="728" spans="2:13">
      <c r="B728" s="1" t="str">
        <f>B23</f>
        <v>5.  Less:  Mar. 20, 2011  Taxes received**</v>
      </c>
      <c r="E728" s="52">
        <v>126</v>
      </c>
      <c r="F728" s="46"/>
      <c r="G728" s="52">
        <v>139</v>
      </c>
      <c r="H728" s="46"/>
      <c r="I728" s="52">
        <v>19</v>
      </c>
      <c r="J728" s="46"/>
      <c r="K728" s="52"/>
      <c r="L728" s="46"/>
      <c r="M728" s="52"/>
    </row>
    <row r="729" spans="2:13" ht="8.25" customHeight="1">
      <c r="E729" s="46"/>
      <c r="F729" s="46"/>
      <c r="G729" s="46"/>
      <c r="H729" s="46"/>
      <c r="I729" s="46"/>
      <c r="J729" s="46"/>
      <c r="K729" s="46"/>
      <c r="L729" s="46"/>
      <c r="M729" s="46"/>
    </row>
    <row r="730" spans="2:13">
      <c r="B730" s="1" t="str">
        <f>B25</f>
        <v>6.  Less:  June 5,  2011 Taxes received**</v>
      </c>
      <c r="E730" s="52">
        <v>330</v>
      </c>
      <c r="F730" s="46"/>
      <c r="G730" s="52">
        <v>363</v>
      </c>
      <c r="H730" s="46"/>
      <c r="I730" s="52">
        <v>49</v>
      </c>
      <c r="J730" s="46"/>
      <c r="K730" s="52"/>
      <c r="L730" s="46"/>
      <c r="M730" s="52"/>
    </row>
    <row r="731" spans="2:13" ht="7.5" customHeight="1">
      <c r="E731" s="46"/>
      <c r="F731" s="46"/>
      <c r="G731" s="46"/>
      <c r="H731" s="46"/>
      <c r="I731" s="46"/>
      <c r="J731" s="46"/>
      <c r="K731" s="46"/>
      <c r="L731" s="46"/>
      <c r="M731" s="16"/>
    </row>
    <row r="732" spans="2:13">
      <c r="B732" s="1" t="s">
        <v>286</v>
      </c>
      <c r="E732" s="52"/>
      <c r="F732" s="46"/>
      <c r="G732" s="52"/>
      <c r="H732" s="46"/>
      <c r="I732" s="52"/>
      <c r="J732" s="46"/>
      <c r="K732" s="52"/>
      <c r="L732" s="46"/>
      <c r="M732" s="52"/>
    </row>
    <row r="733" spans="2:13" ht="7.5" customHeight="1">
      <c r="E733" s="46"/>
      <c r="F733" s="46"/>
      <c r="G733" s="46"/>
      <c r="H733" s="46"/>
      <c r="I733" s="46"/>
      <c r="J733" s="46"/>
      <c r="K733" s="46"/>
      <c r="L733" s="46"/>
      <c r="M733" s="46"/>
    </row>
    <row r="734" spans="2:13">
      <c r="B734" s="1" t="s">
        <v>165</v>
      </c>
      <c r="E734" s="52"/>
      <c r="F734" s="46"/>
      <c r="G734" s="52"/>
      <c r="H734" s="46"/>
      <c r="I734" s="52"/>
      <c r="J734" s="16"/>
      <c r="K734" s="52"/>
      <c r="L734" s="46"/>
      <c r="M734" s="52"/>
    </row>
    <row r="735" spans="2:13">
      <c r="B735" s="1" t="s">
        <v>166</v>
      </c>
      <c r="E735" s="54"/>
      <c r="F735" s="46"/>
      <c r="G735" s="54"/>
      <c r="H735" s="46"/>
      <c r="I735" s="54"/>
      <c r="J735" s="46"/>
      <c r="K735" s="54"/>
      <c r="L735" s="46"/>
      <c r="M735" s="54"/>
    </row>
    <row r="736" spans="2:13">
      <c r="B736" s="1" t="s">
        <v>167</v>
      </c>
      <c r="E736" s="15">
        <f>SUM(E724:E735)</f>
        <v>2280</v>
      </c>
      <c r="F736" s="16"/>
      <c r="G736" s="15">
        <f>SUM(G724:G735)</f>
        <v>2593</v>
      </c>
      <c r="H736" s="16"/>
      <c r="I736" s="15">
        <f>SUM(I724:I735)</f>
        <v>352</v>
      </c>
      <c r="J736" s="16"/>
      <c r="K736" s="15">
        <f>SUM(K724:K735)</f>
        <v>0</v>
      </c>
      <c r="L736" s="16"/>
      <c r="M736" s="15">
        <f>SUM(M724:M735)</f>
        <v>0</v>
      </c>
    </row>
    <row r="737" spans="2:14" ht="6.75" customHeight="1">
      <c r="E737" s="16"/>
      <c r="F737" s="16"/>
      <c r="G737" s="16"/>
      <c r="H737" s="16"/>
      <c r="I737" s="16"/>
      <c r="J737" s="16"/>
      <c r="K737" s="16"/>
      <c r="L737" s="16"/>
      <c r="M737" s="16"/>
    </row>
    <row r="738" spans="2:14">
      <c r="B738" s="1" t="str">
        <f>B33</f>
        <v>11. 2010 taxes receivable (taxes in process</v>
      </c>
      <c r="E738" s="16"/>
      <c r="F738" s="16"/>
      <c r="G738" s="16"/>
      <c r="H738" s="16"/>
      <c r="I738" s="16"/>
      <c r="J738" s="16"/>
      <c r="K738" s="16"/>
      <c r="L738" s="16"/>
      <c r="M738" s="16"/>
    </row>
    <row r="739" spans="2:14">
      <c r="B739" s="1" t="str">
        <f>B34</f>
        <v xml:space="preserve">     of collection 6/30/2011)(Line 2 less Line 10)</v>
      </c>
      <c r="E739" s="15">
        <f>IF(E736&lt;=0,0,E722-E736)</f>
        <v>135</v>
      </c>
      <c r="F739" s="16"/>
      <c r="G739" s="15">
        <f>IF(G736&lt;=0,0,G722-G736)</f>
        <v>149</v>
      </c>
      <c r="H739" s="16"/>
      <c r="I739" s="15">
        <f>IF(I736&lt;=0,0,I722-I736)</f>
        <v>20</v>
      </c>
      <c r="J739" s="16"/>
      <c r="K739" s="15">
        <f>IF(K736&lt;=0,0,(K722-K736))</f>
        <v>0</v>
      </c>
      <c r="L739" s="16"/>
      <c r="M739" s="15">
        <f>IF(M736&lt;=0,0,M722-M736)</f>
        <v>0</v>
      </c>
    </row>
    <row r="740" spans="2:14" ht="6.75" customHeight="1">
      <c r="E740" s="21"/>
      <c r="F740" s="16"/>
      <c r="G740" s="21"/>
      <c r="H740" s="16"/>
      <c r="I740" s="21"/>
      <c r="J740" s="16"/>
      <c r="K740" s="21"/>
      <c r="L740" s="16"/>
      <c r="M740" s="21"/>
    </row>
    <row r="741" spans="2:14">
      <c r="B741" s="1" t="s">
        <v>288</v>
      </c>
      <c r="E741" s="16"/>
      <c r="F741" s="16"/>
      <c r="G741" s="16"/>
      <c r="H741" s="16"/>
      <c r="I741" s="16"/>
      <c r="J741" s="16"/>
      <c r="K741" s="16"/>
      <c r="L741" s="16"/>
      <c r="M741" s="16"/>
    </row>
    <row r="742" spans="2:14">
      <c r="B742" s="1" t="s">
        <v>289</v>
      </c>
      <c r="E742" s="16"/>
      <c r="F742" s="16"/>
      <c r="G742" s="16"/>
      <c r="H742" s="16"/>
      <c r="I742" s="16"/>
      <c r="J742" s="16"/>
      <c r="K742" s="16"/>
      <c r="L742" s="16"/>
      <c r="M742" s="16"/>
    </row>
    <row r="743" spans="2:14">
      <c r="B743" s="1" t="str">
        <f>B38</f>
        <v xml:space="preserve">     (7-1-2011 to 12-31-2012) (Line 3 x 75%)</v>
      </c>
      <c r="E743" s="15">
        <f>SUM(E724*0.75)</f>
        <v>0</v>
      </c>
      <c r="F743" s="16"/>
      <c r="G743" s="15">
        <f>SUM(G724*0.75)</f>
        <v>0</v>
      </c>
      <c r="H743" s="16"/>
      <c r="I743" s="15">
        <f>SUM(I724*0.75)</f>
        <v>0</v>
      </c>
      <c r="J743" s="16"/>
      <c r="K743" s="15">
        <f>SUM(K724*0.75)</f>
        <v>0</v>
      </c>
      <c r="L743" s="16"/>
      <c r="M743" s="15">
        <f>SUM(M724*0.75)</f>
        <v>0</v>
      </c>
    </row>
    <row r="744" spans="2:14" ht="15">
      <c r="B744" s="41" t="str">
        <f>B40</f>
        <v>Tax Collection Ratio (Jan, Mar, June)</v>
      </c>
      <c r="C744" s="17"/>
      <c r="D744" s="17"/>
      <c r="E744" s="42">
        <f>IF(E722&lt;&gt;0,(E726+E728+E730+E732+E734)/E722*100,0)</f>
        <v>94.41</v>
      </c>
      <c r="F744" s="26" t="s">
        <v>290</v>
      </c>
      <c r="G744" s="42">
        <f>IF(G722&lt;&gt;0,(G726+G728+G730+G732+G734)/G722*100,0)</f>
        <v>94.566000000000003</v>
      </c>
      <c r="H744" s="26" t="s">
        <v>290</v>
      </c>
      <c r="I744" s="42">
        <f>IF(I722&lt;&gt;0,(I726+I728+I730+I732+I734)/I722*100,0)</f>
        <v>94.623999999999995</v>
      </c>
      <c r="J744" s="26" t="s">
        <v>290</v>
      </c>
      <c r="K744" s="42">
        <f>IF(K722&lt;&gt;0,(K726+K728+K730+K732+K734)/K722*100,0)</f>
        <v>0</v>
      </c>
      <c r="L744" s="26" t="s">
        <v>290</v>
      </c>
      <c r="M744" s="42">
        <f>IF(M722&lt;&gt;0,(M726+M728+M730+M732+M734)/M722*100,0)</f>
        <v>0</v>
      </c>
      <c r="N744" s="24" t="s">
        <v>290</v>
      </c>
    </row>
    <row r="745" spans="2:14" ht="3" customHeight="1">
      <c r="B745" s="27"/>
      <c r="C745" s="24"/>
      <c r="D745" s="24"/>
      <c r="E745" s="24"/>
      <c r="F745" s="24"/>
      <c r="G745" s="24"/>
      <c r="H745" s="24"/>
      <c r="I745" s="24"/>
      <c r="J745" s="24"/>
      <c r="K745" s="24"/>
      <c r="L745" s="24"/>
      <c r="M745" s="24"/>
    </row>
    <row r="746" spans="2:14" ht="0.75" customHeight="1">
      <c r="B746" s="34"/>
      <c r="C746" s="34"/>
      <c r="D746" s="34"/>
      <c r="E746" s="34"/>
      <c r="F746" s="34"/>
      <c r="G746" s="34"/>
      <c r="H746" s="34"/>
      <c r="I746" s="55"/>
      <c r="J746" s="34"/>
      <c r="K746" s="34"/>
      <c r="L746" s="34"/>
      <c r="M746" s="34"/>
    </row>
    <row r="747" spans="2:14" ht="3" hidden="1" customHeight="1">
      <c r="G747" s="6"/>
      <c r="I747" s="59"/>
      <c r="J747" s="34"/>
      <c r="K747" s="60"/>
      <c r="L747" s="34"/>
      <c r="M747" s="59"/>
    </row>
    <row r="748" spans="2:14" ht="3" hidden="1" customHeight="1">
      <c r="B748" s="28"/>
      <c r="C748" s="28"/>
      <c r="D748" s="28"/>
      <c r="E748" s="28"/>
      <c r="F748" s="28"/>
      <c r="G748" s="61"/>
      <c r="H748" s="28"/>
      <c r="I748" s="59"/>
      <c r="J748" s="34"/>
      <c r="K748" s="36"/>
      <c r="L748" s="34"/>
      <c r="M748" s="59"/>
    </row>
    <row r="749" spans="2:14" ht="3" hidden="1" customHeight="1">
      <c r="G749" s="32"/>
      <c r="I749" s="59"/>
      <c r="J749" s="34"/>
      <c r="K749" s="36"/>
      <c r="L749" s="34"/>
      <c r="M749" s="59"/>
    </row>
    <row r="750" spans="2:14" ht="3" hidden="1" customHeight="1">
      <c r="G750" s="32"/>
      <c r="I750" s="49"/>
      <c r="J750" s="34"/>
      <c r="K750" s="36"/>
      <c r="L750" s="34"/>
      <c r="M750" s="34"/>
    </row>
    <row r="751" spans="2:14" ht="1.5" hidden="1" customHeight="1">
      <c r="I751" s="56"/>
      <c r="J751" s="34"/>
      <c r="K751" s="34"/>
      <c r="L751" s="34"/>
      <c r="M751" s="62"/>
    </row>
    <row r="752" spans="2:14" ht="4.5" hidden="1" customHeight="1">
      <c r="C752" s="35"/>
      <c r="D752" s="35"/>
      <c r="I752" s="56"/>
      <c r="J752" s="34"/>
      <c r="K752" s="34"/>
      <c r="L752" s="34"/>
      <c r="M752" s="63"/>
    </row>
    <row r="753" spans="2:14" ht="12.75" customHeight="1">
      <c r="B753" s="1" t="str">
        <f>B98</f>
        <v>*Amounts are available from the County Treasurer.       **These Jan.-June, 2011 amounts are available from the County Treasurer.  (Does not</v>
      </c>
      <c r="C753" s="28"/>
      <c r="D753" s="28"/>
      <c r="E753" s="28"/>
      <c r="F753" s="28"/>
      <c r="G753" s="28"/>
      <c r="H753" s="28"/>
      <c r="I753" s="56"/>
      <c r="J753" s="34"/>
      <c r="K753" s="34"/>
      <c r="L753" s="34"/>
      <c r="M753" s="34"/>
    </row>
    <row r="754" spans="2:14">
      <c r="B754" s="1" t="str">
        <f>B99</f>
        <v xml:space="preserve"> include MVPT.  Should correspond to school records.)</v>
      </c>
    </row>
    <row r="755" spans="2:14">
      <c r="B755" s="1" t="s">
        <v>354</v>
      </c>
    </row>
    <row r="756" spans="2:14" ht="15">
      <c r="B756" s="1" t="s">
        <v>148</v>
      </c>
      <c r="M756" s="2" t="s">
        <v>178</v>
      </c>
    </row>
    <row r="757" spans="2:14">
      <c r="B757" s="3">
        <f>B2</f>
        <v>40664</v>
      </c>
      <c r="C757" s="4"/>
      <c r="D757" s="4"/>
      <c r="F757" s="6"/>
      <c r="G757" s="6" t="s">
        <v>150</v>
      </c>
      <c r="H757" s="6"/>
      <c r="I757" s="8" t="str">
        <f>I707</f>
        <v>395 - LaCrosse</v>
      </c>
      <c r="J757" s="8"/>
      <c r="K757" s="38" t="s">
        <v>151</v>
      </c>
      <c r="L757" s="37"/>
      <c r="M757" s="9">
        <f>M707</f>
        <v>395</v>
      </c>
    </row>
    <row r="758" spans="2:14">
      <c r="K758" s="6" t="s">
        <v>153</v>
      </c>
      <c r="M758" s="8" t="str">
        <f>M708</f>
        <v>ELLIS</v>
      </c>
    </row>
    <row r="759" spans="2:14" ht="6.75" customHeight="1">
      <c r="E759" s="12"/>
      <c r="F759" s="12"/>
      <c r="G759" s="12"/>
      <c r="H759" s="12"/>
      <c r="I759" s="12"/>
      <c r="J759" s="12"/>
      <c r="K759" s="13"/>
      <c r="L759" s="13"/>
      <c r="M759" s="12"/>
    </row>
    <row r="760" spans="2:14" ht="15" customHeight="1">
      <c r="B760" s="12" t="str">
        <f>B6</f>
        <v>2011-2012</v>
      </c>
      <c r="C760" s="12"/>
      <c r="D760" s="12"/>
      <c r="E760" s="12"/>
      <c r="F760" s="12"/>
      <c r="G760" s="12"/>
      <c r="H760" s="12"/>
      <c r="I760" s="12"/>
      <c r="J760" s="12"/>
      <c r="K760" s="12"/>
      <c r="L760" s="12"/>
      <c r="M760" s="12"/>
    </row>
    <row r="761" spans="2:14">
      <c r="B761" s="12" t="s">
        <v>155</v>
      </c>
      <c r="C761" s="12"/>
      <c r="D761" s="12"/>
      <c r="E761" s="12"/>
      <c r="F761" s="12"/>
      <c r="G761" s="12"/>
      <c r="H761" s="12"/>
      <c r="I761" s="12"/>
      <c r="J761" s="12"/>
      <c r="K761" s="12"/>
      <c r="L761" s="12"/>
      <c r="M761" s="12"/>
    </row>
    <row r="762" spans="2:14">
      <c r="B762" s="12" t="s">
        <v>156</v>
      </c>
      <c r="C762" s="12"/>
      <c r="D762" s="12"/>
      <c r="E762" s="12"/>
      <c r="F762" s="12"/>
      <c r="G762" s="12"/>
      <c r="H762" s="12"/>
      <c r="I762" s="12"/>
      <c r="J762" s="12"/>
      <c r="K762" s="12"/>
      <c r="L762" s="12"/>
      <c r="M762" s="12"/>
    </row>
    <row r="763" spans="2:14" ht="15">
      <c r="B763" s="14" t="s">
        <v>157</v>
      </c>
      <c r="C763" s="14"/>
      <c r="D763" s="14"/>
      <c r="E763" s="12"/>
      <c r="F763" s="12"/>
      <c r="G763" s="12"/>
      <c r="H763" s="12"/>
      <c r="I763" s="12"/>
      <c r="J763" s="12"/>
      <c r="K763" s="12"/>
      <c r="L763" s="12"/>
      <c r="M763" s="12"/>
    </row>
    <row r="764" spans="2:14" ht="7.5" customHeight="1">
      <c r="E764" s="10"/>
      <c r="F764" s="10"/>
      <c r="G764" s="10"/>
      <c r="H764" s="10"/>
      <c r="I764" s="10"/>
      <c r="J764" s="10"/>
      <c r="K764" s="10"/>
      <c r="L764" s="10"/>
      <c r="M764" s="10"/>
    </row>
    <row r="765" spans="2:14" ht="15">
      <c r="E765" s="10" t="s">
        <v>179</v>
      </c>
      <c r="F765" s="10"/>
      <c r="G765" s="419" t="s">
        <v>25</v>
      </c>
      <c r="H765" s="10"/>
      <c r="I765" s="419" t="s">
        <v>181</v>
      </c>
      <c r="J765" s="10"/>
      <c r="K765" s="419" t="s">
        <v>182</v>
      </c>
      <c r="M765"/>
      <c r="N765"/>
    </row>
    <row r="766" spans="2:14" ht="15">
      <c r="E766" s="10" t="s">
        <v>328</v>
      </c>
      <c r="F766" s="10"/>
      <c r="G766" s="10" t="s">
        <v>24</v>
      </c>
      <c r="H766" s="10"/>
      <c r="I766" s="419" t="s">
        <v>329</v>
      </c>
      <c r="J766" s="10"/>
      <c r="K766" s="419" t="str">
        <f>K61</f>
        <v>Interest #2</v>
      </c>
      <c r="M766"/>
      <c r="N766"/>
    </row>
    <row r="767" spans="2:14" ht="8.25" customHeight="1">
      <c r="M767"/>
      <c r="N767"/>
    </row>
    <row r="768" spans="2:14">
      <c r="B768" s="1" t="str">
        <f>B15</f>
        <v>1.  County Treasurer Balance 6/30/2011 *</v>
      </c>
      <c r="E768" s="52"/>
      <c r="F768" s="46"/>
      <c r="G768" s="52"/>
      <c r="H768" s="46"/>
      <c r="I768" s="52"/>
      <c r="J768" s="46"/>
      <c r="K768" s="52"/>
      <c r="M768"/>
      <c r="N768"/>
    </row>
    <row r="769" spans="2:14" ht="8.25" customHeight="1">
      <c r="B769" s="17"/>
      <c r="C769" s="17"/>
      <c r="D769" s="17"/>
      <c r="E769" s="53"/>
      <c r="F769" s="53"/>
      <c r="G769" s="53"/>
      <c r="H769" s="53"/>
      <c r="I769" s="53"/>
      <c r="J769" s="53"/>
      <c r="K769" s="53"/>
      <c r="M769"/>
      <c r="N769"/>
    </row>
    <row r="770" spans="2:14">
      <c r="B770" s="1" t="str">
        <f>B17</f>
        <v>2.  2010 Actual Taxes Levied*</v>
      </c>
      <c r="E770" s="52"/>
      <c r="F770" s="46"/>
      <c r="G770" s="52"/>
      <c r="H770" s="46"/>
      <c r="I770" s="52"/>
      <c r="J770" s="46"/>
      <c r="K770" s="52"/>
      <c r="M770"/>
      <c r="N770"/>
    </row>
    <row r="771" spans="2:14" ht="8.25" customHeight="1">
      <c r="E771" s="46"/>
      <c r="F771" s="46"/>
      <c r="G771" s="46"/>
      <c r="H771" s="46"/>
      <c r="I771" s="46"/>
      <c r="J771" s="46"/>
      <c r="K771" s="46"/>
      <c r="M771"/>
      <c r="N771"/>
    </row>
    <row r="772" spans="2:14">
      <c r="B772" s="1" t="s">
        <v>330</v>
      </c>
      <c r="C772" s="33">
        <f>C724</f>
        <v>0</v>
      </c>
      <c r="D772" s="40"/>
      <c r="E772" s="15">
        <f>E770*$C$772/100</f>
        <v>0</v>
      </c>
      <c r="F772" s="15"/>
      <c r="G772" s="15">
        <f>G770*$C$772/100</f>
        <v>0</v>
      </c>
      <c r="H772" s="15"/>
      <c r="I772" s="15">
        <f>I770*$C$772/100</f>
        <v>0</v>
      </c>
      <c r="J772" s="15"/>
      <c r="K772" s="15">
        <f>K770*$C$772/100</f>
        <v>0</v>
      </c>
      <c r="L772" s="15"/>
      <c r="M772"/>
      <c r="N772"/>
    </row>
    <row r="773" spans="2:14" ht="8.25" customHeight="1">
      <c r="E773" s="46"/>
      <c r="F773" s="46"/>
      <c r="G773" s="46"/>
      <c r="H773" s="46"/>
      <c r="I773" s="46"/>
      <c r="J773" s="46"/>
      <c r="K773" s="46"/>
      <c r="M773"/>
      <c r="N773"/>
    </row>
    <row r="774" spans="2:14">
      <c r="B774" s="1" t="str">
        <f>B21</f>
        <v>4.  Less:  Jan. 20, 2011 Taxes received**</v>
      </c>
      <c r="E774" s="52"/>
      <c r="F774" s="46"/>
      <c r="G774" s="52"/>
      <c r="H774" s="46"/>
      <c r="I774" s="52"/>
      <c r="J774" s="46"/>
      <c r="K774" s="52"/>
      <c r="M774"/>
      <c r="N774"/>
    </row>
    <row r="775" spans="2:14" ht="9" customHeight="1">
      <c r="E775" s="46"/>
      <c r="F775" s="46"/>
      <c r="G775" s="46"/>
      <c r="H775" s="46"/>
      <c r="I775" s="46"/>
      <c r="J775" s="46"/>
      <c r="K775" s="46"/>
      <c r="M775"/>
      <c r="N775"/>
    </row>
    <row r="776" spans="2:14">
      <c r="B776" s="1" t="str">
        <f>B23</f>
        <v>5.  Less:  Mar. 20, 2011  Taxes received**</v>
      </c>
      <c r="E776" s="52"/>
      <c r="F776" s="46"/>
      <c r="G776" s="52"/>
      <c r="H776" s="46"/>
      <c r="I776" s="52"/>
      <c r="J776" s="46"/>
      <c r="K776" s="52"/>
      <c r="M776"/>
      <c r="N776"/>
    </row>
    <row r="777" spans="2:14" ht="8.25" customHeight="1">
      <c r="E777" s="56"/>
      <c r="F777" s="46"/>
      <c r="G777" s="56"/>
      <c r="H777" s="46"/>
      <c r="I777" s="56"/>
      <c r="J777" s="46"/>
      <c r="K777" s="56"/>
      <c r="M777"/>
      <c r="N777"/>
    </row>
    <row r="778" spans="2:14">
      <c r="B778" s="1" t="str">
        <f>B25</f>
        <v>6.  Less:  June 5,  2011 Taxes received**</v>
      </c>
      <c r="E778" s="52"/>
      <c r="F778" s="46"/>
      <c r="G778" s="52"/>
      <c r="H778" s="46"/>
      <c r="I778" s="52"/>
      <c r="J778" s="46"/>
      <c r="K778" s="52"/>
      <c r="M778"/>
      <c r="N778"/>
    </row>
    <row r="779" spans="2:14" ht="7.5" customHeight="1">
      <c r="E779" s="56"/>
      <c r="F779" s="46"/>
      <c r="G779" s="56"/>
      <c r="H779" s="46"/>
      <c r="I779" s="56"/>
      <c r="J779" s="46"/>
      <c r="K779" s="56"/>
      <c r="M779"/>
      <c r="N779"/>
    </row>
    <row r="780" spans="2:14">
      <c r="B780" s="1" t="s">
        <v>286</v>
      </c>
      <c r="E780" s="52"/>
      <c r="F780" s="46"/>
      <c r="G780" s="52"/>
      <c r="H780" s="46"/>
      <c r="I780" s="52"/>
      <c r="J780" s="46"/>
      <c r="K780" s="52"/>
      <c r="M780"/>
      <c r="N780"/>
    </row>
    <row r="781" spans="2:14" ht="8.25" customHeight="1">
      <c r="E781" s="46"/>
      <c r="F781" s="46"/>
      <c r="G781" s="46"/>
      <c r="H781" s="46"/>
      <c r="I781" s="46"/>
      <c r="J781" s="46"/>
      <c r="K781" s="46"/>
      <c r="M781"/>
      <c r="N781"/>
    </row>
    <row r="782" spans="2:14">
      <c r="B782" s="1" t="s">
        <v>165</v>
      </c>
      <c r="E782" s="52"/>
      <c r="F782" s="46"/>
      <c r="G782" s="52"/>
      <c r="H782" s="46"/>
      <c r="I782" s="52"/>
      <c r="J782" s="46"/>
      <c r="K782" s="52"/>
      <c r="M782"/>
      <c r="N782"/>
    </row>
    <row r="783" spans="2:14">
      <c r="B783" s="1" t="s">
        <v>166</v>
      </c>
      <c r="E783" s="54"/>
      <c r="F783" s="46"/>
      <c r="G783" s="54"/>
      <c r="H783" s="46"/>
      <c r="I783" s="54"/>
      <c r="J783" s="46"/>
      <c r="K783" s="54"/>
      <c r="M783"/>
      <c r="N783"/>
    </row>
    <row r="784" spans="2:14">
      <c r="B784" s="1" t="s">
        <v>331</v>
      </c>
      <c r="E784" s="15">
        <f>SUM(E772:E783)</f>
        <v>0</v>
      </c>
      <c r="F784" s="21"/>
      <c r="G784" s="15">
        <f>SUM(G772:G783)</f>
        <v>0</v>
      </c>
      <c r="H784" s="21"/>
      <c r="I784" s="15">
        <f>SUM(I772:I783)</f>
        <v>0</v>
      </c>
      <c r="J784" s="21"/>
      <c r="K784" s="15">
        <f>SUM(K772:K783)</f>
        <v>0</v>
      </c>
      <c r="L784" s="40"/>
      <c r="M784"/>
      <c r="N784"/>
    </row>
    <row r="785" spans="2:14" ht="9" customHeight="1">
      <c r="E785" s="16"/>
      <c r="F785" s="16"/>
      <c r="G785" s="16"/>
      <c r="H785" s="16"/>
      <c r="I785" s="16"/>
      <c r="J785" s="16"/>
      <c r="K785" s="16"/>
      <c r="L785" s="40"/>
      <c r="M785"/>
      <c r="N785"/>
    </row>
    <row r="786" spans="2:14">
      <c r="B786" s="1" t="str">
        <f>B33</f>
        <v>11. 2010 taxes receivable (taxes in process</v>
      </c>
      <c r="E786" s="16"/>
      <c r="F786" s="16"/>
      <c r="G786" s="16"/>
      <c r="H786" s="16"/>
      <c r="I786" s="16"/>
      <c r="J786" s="16"/>
      <c r="K786" s="16"/>
      <c r="L786" s="40"/>
      <c r="M786"/>
      <c r="N786"/>
    </row>
    <row r="787" spans="2:14">
      <c r="B787" s="1" t="str">
        <f>B34</f>
        <v xml:space="preserve">     of collection 6/30/2011)(Line 2 less Line 10)</v>
      </c>
      <c r="E787" s="15">
        <f>IF(E784&lt;=0,0,E770-E784)</f>
        <v>0</v>
      </c>
      <c r="F787" s="21"/>
      <c r="G787" s="15">
        <f>IF(G784&lt;=0,0,G770-G784)</f>
        <v>0</v>
      </c>
      <c r="H787" s="21"/>
      <c r="I787" s="15">
        <f>IF(I784&lt;=0,0,I770-I784)</f>
        <v>0</v>
      </c>
      <c r="J787" s="21"/>
      <c r="K787" s="15">
        <f>IF(K784&lt;=0,0,K770-K784)</f>
        <v>0</v>
      </c>
      <c r="L787" s="15"/>
      <c r="M787"/>
      <c r="N787"/>
    </row>
    <row r="788" spans="2:14" ht="8.25" customHeight="1">
      <c r="E788" s="16"/>
      <c r="F788" s="16"/>
      <c r="G788" s="16"/>
      <c r="H788" s="16"/>
      <c r="I788" s="16"/>
      <c r="J788" s="16"/>
      <c r="K788" s="16"/>
      <c r="L788" s="40"/>
      <c r="M788"/>
      <c r="N788"/>
    </row>
    <row r="789" spans="2:14">
      <c r="B789" s="1" t="s">
        <v>236</v>
      </c>
      <c r="E789" s="16"/>
      <c r="F789" s="16"/>
      <c r="G789" s="16"/>
      <c r="H789" s="16"/>
      <c r="I789" s="16"/>
      <c r="J789" s="16"/>
      <c r="K789" s="16"/>
      <c r="L789" s="40"/>
      <c r="M789"/>
      <c r="N789"/>
    </row>
    <row r="790" spans="2:14">
      <c r="B790" s="1" t="s">
        <v>289</v>
      </c>
      <c r="E790" s="16"/>
      <c r="F790" s="16"/>
      <c r="G790" s="16"/>
      <c r="H790" s="16"/>
      <c r="I790" s="16"/>
      <c r="J790" s="16"/>
      <c r="K790" s="16"/>
      <c r="L790" s="40"/>
      <c r="M790"/>
      <c r="N790"/>
    </row>
    <row r="791" spans="2:14">
      <c r="B791" s="1" t="str">
        <f>B38</f>
        <v xml:space="preserve">     (7-1-2011 to 12-31-2012) (Line 3 x 75%)</v>
      </c>
      <c r="E791" s="15">
        <f>SUM(E772*0.75)</f>
        <v>0</v>
      </c>
      <c r="F791" s="21"/>
      <c r="G791" s="15">
        <f>SUM(G772*0.75)</f>
        <v>0</v>
      </c>
      <c r="H791" s="21"/>
      <c r="I791" s="15">
        <f>SUM(I772*0.75)</f>
        <v>0</v>
      </c>
      <c r="J791" s="21"/>
      <c r="K791" s="15">
        <f>SUM(K772*0.75)</f>
        <v>0</v>
      </c>
      <c r="L791" s="40"/>
      <c r="M791"/>
      <c r="N791"/>
    </row>
    <row r="792" spans="2:14" ht="15">
      <c r="B792" s="35" t="str">
        <f>B40</f>
        <v>Tax Collection Ratio (Jan, Mar, June)</v>
      </c>
      <c r="E792" s="51">
        <f>IF(E770&lt;&gt;0,(E774+E776+E778+E780+E782)/E770*100,0)</f>
        <v>0</v>
      </c>
      <c r="F792" s="26" t="s">
        <v>290</v>
      </c>
      <c r="G792" s="51">
        <f>IF(G770&lt;&gt;0,(G774+G776+G778+G780+G782)/G770*100,0)</f>
        <v>0</v>
      </c>
      <c r="H792" s="26" t="s">
        <v>290</v>
      </c>
      <c r="I792" s="51">
        <f>IF(I770&lt;&gt;0,(I774+I776+I778+I780+I782)/I770*100,0)</f>
        <v>0</v>
      </c>
      <c r="J792" s="26" t="s">
        <v>290</v>
      </c>
      <c r="K792" s="51">
        <f>IF(K770&lt;&gt;0,(K774+K776+K778+K780+K782)/K770*100,0)</f>
        <v>0</v>
      </c>
      <c r="L792" s="26" t="s">
        <v>290</v>
      </c>
      <c r="M792"/>
      <c r="N792"/>
    </row>
    <row r="793" spans="2:14" ht="5.0999999999999996" customHeight="1">
      <c r="B793" s="17"/>
      <c r="C793" s="17"/>
      <c r="D793" s="17"/>
      <c r="E793" s="17"/>
      <c r="F793" s="17"/>
      <c r="G793" s="17"/>
      <c r="H793" s="17"/>
      <c r="I793" s="17"/>
      <c r="J793" s="17"/>
      <c r="K793" s="17"/>
      <c r="L793" s="17"/>
      <c r="M793" s="17"/>
    </row>
    <row r="794" spans="2:14">
      <c r="B794" s="1" t="str">
        <f>B98</f>
        <v>*Amounts are available from the County Treasurer.       **These Jan.-June, 2011 amounts are available from the County Treasurer.  (Does not</v>
      </c>
    </row>
    <row r="795" spans="2:14">
      <c r="B795" s="1" t="str">
        <f>B99</f>
        <v xml:space="preserve"> include MVPT.  Should correspond to school records.)</v>
      </c>
    </row>
    <row r="796" spans="2:14" ht="3" customHeight="1"/>
    <row r="797" spans="2:14" ht="15">
      <c r="B797" s="1" t="s">
        <v>148</v>
      </c>
      <c r="M797" s="2" t="s">
        <v>337</v>
      </c>
    </row>
    <row r="798" spans="2:14">
      <c r="B798" s="3">
        <f>B2</f>
        <v>40664</v>
      </c>
      <c r="C798" s="4"/>
      <c r="D798" s="4"/>
      <c r="G798" s="6" t="s">
        <v>150</v>
      </c>
      <c r="H798" s="6"/>
      <c r="I798" s="8" t="str">
        <f>I707</f>
        <v>395 - LaCrosse</v>
      </c>
      <c r="J798" s="8"/>
      <c r="K798" s="8"/>
      <c r="L798" s="6" t="s">
        <v>151</v>
      </c>
      <c r="M798" s="9">
        <f>M707</f>
        <v>395</v>
      </c>
    </row>
    <row r="799" spans="2:14">
      <c r="K799" s="6" t="s">
        <v>153</v>
      </c>
      <c r="M799" s="8" t="str">
        <f>M708</f>
        <v>ELLIS</v>
      </c>
    </row>
    <row r="800" spans="2:14" ht="7.5" customHeight="1">
      <c r="E800" s="12"/>
      <c r="F800" s="12"/>
      <c r="G800" s="12"/>
      <c r="H800" s="12"/>
      <c r="I800" s="12"/>
      <c r="J800" s="12"/>
      <c r="K800" s="13"/>
      <c r="L800" s="13"/>
      <c r="M800" s="12"/>
    </row>
    <row r="801" spans="2:13">
      <c r="B801" s="12" t="str">
        <f>B6</f>
        <v>2011-2012</v>
      </c>
      <c r="C801" s="12"/>
      <c r="D801" s="12"/>
      <c r="E801" s="12"/>
      <c r="F801" s="12"/>
      <c r="G801" s="12"/>
      <c r="H801" s="12"/>
      <c r="I801" s="12"/>
      <c r="J801" s="12"/>
      <c r="K801" s="12"/>
      <c r="L801" s="12"/>
      <c r="M801" s="12"/>
    </row>
    <row r="802" spans="2:13">
      <c r="B802" s="12" t="s">
        <v>155</v>
      </c>
      <c r="C802" s="12"/>
      <c r="D802" s="12"/>
      <c r="E802" s="12"/>
      <c r="F802" s="12"/>
      <c r="G802" s="12"/>
      <c r="H802" s="12"/>
      <c r="I802" s="12"/>
      <c r="J802" s="12"/>
      <c r="K802" s="12"/>
      <c r="L802" s="12"/>
      <c r="M802" s="12"/>
    </row>
    <row r="803" spans="2:13">
      <c r="B803" s="12" t="s">
        <v>156</v>
      </c>
      <c r="C803" s="12"/>
      <c r="D803" s="12"/>
      <c r="E803" s="12"/>
      <c r="F803" s="12"/>
      <c r="G803" s="12"/>
      <c r="H803" s="12"/>
      <c r="I803" s="12"/>
      <c r="J803" s="12"/>
      <c r="K803" s="12"/>
      <c r="L803" s="12"/>
      <c r="M803" s="12"/>
    </row>
    <row r="804" spans="2:13" ht="15">
      <c r="B804" s="14" t="s">
        <v>157</v>
      </c>
      <c r="C804" s="14"/>
      <c r="D804" s="14"/>
      <c r="E804" s="12"/>
      <c r="F804" s="12"/>
      <c r="G804" s="12"/>
      <c r="H804" s="12"/>
      <c r="I804" s="12"/>
      <c r="J804" s="12"/>
      <c r="K804" s="12"/>
      <c r="L804" s="12"/>
      <c r="M804" s="12"/>
    </row>
    <row r="805" spans="2:13" ht="8.25" customHeight="1">
      <c r="E805" s="10"/>
      <c r="F805" s="10"/>
      <c r="G805" s="10"/>
      <c r="H805" s="10"/>
      <c r="I805" s="10"/>
      <c r="J805" s="10"/>
      <c r="K805" s="10"/>
      <c r="L805" s="10"/>
      <c r="M805" s="10"/>
    </row>
    <row r="806" spans="2:13" ht="15">
      <c r="E806" s="10" t="s">
        <v>338</v>
      </c>
      <c r="F806" s="10"/>
      <c r="G806" s="10" t="s">
        <v>180</v>
      </c>
      <c r="H806" s="10"/>
      <c r="I806" s="10" t="s">
        <v>339</v>
      </c>
      <c r="J806" s="10"/>
      <c r="K806" s="10" t="s">
        <v>340</v>
      </c>
      <c r="L806" s="10"/>
      <c r="M806" s="10" t="s">
        <v>341</v>
      </c>
    </row>
    <row r="807" spans="2:13" ht="15">
      <c r="E807" s="10" t="s">
        <v>342</v>
      </c>
      <c r="F807" s="10"/>
      <c r="G807" s="10" t="s">
        <v>343</v>
      </c>
      <c r="H807" s="10"/>
      <c r="I807" s="10" t="s">
        <v>344</v>
      </c>
      <c r="J807" s="10"/>
      <c r="K807" s="10" t="s">
        <v>345</v>
      </c>
      <c r="L807" s="10"/>
      <c r="M807" s="10" t="s">
        <v>346</v>
      </c>
    </row>
    <row r="808" spans="2:13" ht="7.5" customHeight="1"/>
    <row r="809" spans="2:13">
      <c r="B809" s="1" t="str">
        <f>B15</f>
        <v>1.  County Treasurer Balance 6/30/2011 *</v>
      </c>
      <c r="E809" s="52"/>
      <c r="F809" s="46"/>
      <c r="G809" s="52"/>
      <c r="H809" s="46"/>
      <c r="I809" s="52"/>
      <c r="J809" s="46"/>
      <c r="K809" s="52"/>
      <c r="M809" s="52"/>
    </row>
    <row r="810" spans="2:13" ht="7.5" customHeight="1">
      <c r="B810" s="17"/>
      <c r="C810" s="17"/>
      <c r="D810" s="17"/>
      <c r="E810" s="53"/>
      <c r="F810" s="53"/>
      <c r="G810" s="53"/>
      <c r="H810" s="53"/>
      <c r="I810" s="53"/>
      <c r="J810" s="53"/>
      <c r="K810" s="53"/>
      <c r="M810" s="18"/>
    </row>
    <row r="811" spans="2:13">
      <c r="B811" s="1" t="str">
        <f>B17</f>
        <v>2.  2010 Actual Taxes Levied*</v>
      </c>
      <c r="E811" s="52"/>
      <c r="F811" s="46"/>
      <c r="G811" s="52"/>
      <c r="H811" s="46"/>
      <c r="I811" s="52"/>
      <c r="J811" s="46"/>
      <c r="K811" s="52"/>
      <c r="M811" s="52"/>
    </row>
    <row r="812" spans="2:13" ht="8.25" customHeight="1">
      <c r="E812" s="46"/>
      <c r="F812" s="46"/>
      <c r="G812" s="46"/>
      <c r="H812" s="46"/>
      <c r="I812" s="46"/>
      <c r="J812" s="46"/>
      <c r="K812" s="46"/>
      <c r="M812" s="46"/>
    </row>
    <row r="813" spans="2:13">
      <c r="B813" s="1" t="s">
        <v>330</v>
      </c>
      <c r="C813" s="33">
        <f>C724</f>
        <v>0</v>
      </c>
      <c r="D813" s="40"/>
      <c r="E813" s="15">
        <f>E811*$C$813/100</f>
        <v>0</v>
      </c>
      <c r="F813" s="15"/>
      <c r="G813" s="15">
        <f>G811*$C$813/100</f>
        <v>0</v>
      </c>
      <c r="H813" s="15"/>
      <c r="I813" s="15">
        <f>I811*$C$813/100</f>
        <v>0</v>
      </c>
      <c r="J813" s="15"/>
      <c r="K813" s="15">
        <f>K811*$C$813/100</f>
        <v>0</v>
      </c>
      <c r="L813" s="15"/>
      <c r="M813" s="15">
        <f>M811*$C$813/100</f>
        <v>0</v>
      </c>
    </row>
    <row r="814" spans="2:13" ht="8.25" customHeight="1">
      <c r="E814" s="46"/>
      <c r="F814" s="46"/>
      <c r="G814" s="46"/>
      <c r="H814" s="46"/>
      <c r="I814" s="46"/>
      <c r="J814" s="46"/>
      <c r="K814" s="46"/>
      <c r="M814" s="46"/>
    </row>
    <row r="815" spans="2:13">
      <c r="B815" s="1" t="str">
        <f>B21</f>
        <v>4.  Less:  Jan. 20, 2011 Taxes received**</v>
      </c>
      <c r="E815" s="52"/>
      <c r="F815" s="46"/>
      <c r="G815" s="52"/>
      <c r="H815" s="46"/>
      <c r="I815" s="52"/>
      <c r="J815" s="46"/>
      <c r="K815" s="52"/>
      <c r="M815" s="52"/>
    </row>
    <row r="816" spans="2:13" ht="8.25" customHeight="1">
      <c r="E816" s="46"/>
      <c r="F816" s="46"/>
      <c r="G816" s="46"/>
      <c r="H816" s="46"/>
      <c r="I816" s="46"/>
      <c r="J816" s="46"/>
      <c r="K816" s="46"/>
      <c r="M816" s="46"/>
    </row>
    <row r="817" spans="2:13">
      <c r="B817" s="1" t="str">
        <f>B23</f>
        <v>5.  Less:  Mar. 20, 2011  Taxes received**</v>
      </c>
      <c r="E817" s="52"/>
      <c r="F817" s="46"/>
      <c r="G817" s="52"/>
      <c r="H817" s="46"/>
      <c r="I817" s="52"/>
      <c r="J817" s="46"/>
      <c r="K817" s="52"/>
      <c r="M817" s="52"/>
    </row>
    <row r="818" spans="2:13" ht="9" customHeight="1">
      <c r="E818" s="56"/>
      <c r="F818" s="46"/>
      <c r="G818" s="56"/>
      <c r="H818" s="46"/>
      <c r="I818" s="56"/>
      <c r="J818" s="46"/>
      <c r="K818" s="56"/>
      <c r="M818" s="56"/>
    </row>
    <row r="819" spans="2:13">
      <c r="B819" s="1" t="str">
        <f>B25</f>
        <v>6.  Less:  June 5,  2011 Taxes received**</v>
      </c>
      <c r="E819" s="52"/>
      <c r="F819" s="46"/>
      <c r="G819" s="52"/>
      <c r="H819" s="46"/>
      <c r="I819" s="52"/>
      <c r="J819" s="46"/>
      <c r="K819" s="52"/>
      <c r="M819" s="52"/>
    </row>
    <row r="820" spans="2:13" ht="7.5" customHeight="1">
      <c r="E820" s="56"/>
      <c r="F820" s="46"/>
      <c r="G820" s="56"/>
      <c r="H820" s="46"/>
      <c r="I820" s="56"/>
      <c r="J820" s="46"/>
      <c r="K820" s="56"/>
      <c r="M820" s="56"/>
    </row>
    <row r="821" spans="2:13">
      <c r="B821" s="1" t="s">
        <v>286</v>
      </c>
      <c r="E821" s="52"/>
      <c r="F821" s="46"/>
      <c r="G821" s="52"/>
      <c r="H821" s="46"/>
      <c r="I821" s="52"/>
      <c r="J821" s="46"/>
      <c r="K821" s="52"/>
      <c r="M821" s="52"/>
    </row>
    <row r="822" spans="2:13" ht="9" customHeight="1">
      <c r="E822" s="46"/>
      <c r="F822" s="46"/>
      <c r="G822" s="46"/>
      <c r="H822" s="46"/>
      <c r="I822" s="46"/>
      <c r="J822" s="46"/>
      <c r="K822" s="46"/>
      <c r="M822" s="46"/>
    </row>
    <row r="823" spans="2:13">
      <c r="B823" s="1" t="s">
        <v>165</v>
      </c>
      <c r="E823" s="52"/>
      <c r="F823" s="46"/>
      <c r="G823" s="52"/>
      <c r="H823" s="46"/>
      <c r="I823" s="52"/>
      <c r="J823" s="46"/>
      <c r="K823" s="52"/>
      <c r="M823" s="52"/>
    </row>
    <row r="824" spans="2:13">
      <c r="B824" s="1" t="s">
        <v>166</v>
      </c>
      <c r="E824" s="54"/>
      <c r="F824" s="46"/>
      <c r="G824" s="54"/>
      <c r="H824" s="46"/>
      <c r="I824" s="54"/>
      <c r="J824" s="46"/>
      <c r="K824" s="54"/>
      <c r="M824" s="54"/>
    </row>
    <row r="825" spans="2:13">
      <c r="B825" s="1" t="s">
        <v>331</v>
      </c>
      <c r="E825" s="15">
        <f>SUM(E813:E824)</f>
        <v>0</v>
      </c>
      <c r="F825" s="21"/>
      <c r="G825" s="15">
        <f>SUM(G813:G824)</f>
        <v>0</v>
      </c>
      <c r="H825" s="21"/>
      <c r="I825" s="15">
        <f>SUM(I813:I824)</f>
        <v>0</v>
      </c>
      <c r="J825" s="21"/>
      <c r="K825" s="15">
        <f>SUM(K813:K824)</f>
        <v>0</v>
      </c>
      <c r="L825" s="40"/>
      <c r="M825" s="15">
        <f>SUM(M813:M824)</f>
        <v>0</v>
      </c>
    </row>
    <row r="826" spans="2:13" ht="8.25" customHeight="1">
      <c r="E826" s="16"/>
      <c r="F826" s="16"/>
      <c r="G826" s="16"/>
      <c r="H826" s="16"/>
      <c r="I826" s="16"/>
      <c r="J826" s="16"/>
      <c r="K826" s="16"/>
      <c r="L826" s="40"/>
      <c r="M826" s="16"/>
    </row>
    <row r="827" spans="2:13">
      <c r="B827" s="1" t="str">
        <f>B33</f>
        <v>11. 2010 taxes receivable (taxes in process</v>
      </c>
      <c r="E827" s="16"/>
      <c r="F827" s="16"/>
      <c r="G827" s="16"/>
      <c r="H827" s="16"/>
      <c r="I827" s="16"/>
      <c r="J827" s="16"/>
      <c r="K827" s="16"/>
      <c r="L827" s="40"/>
      <c r="M827" s="16"/>
    </row>
    <row r="828" spans="2:13">
      <c r="B828" s="1" t="str">
        <f>B34</f>
        <v xml:space="preserve">     of collection 6/30/2011)(Line 2 less Line 10)</v>
      </c>
      <c r="E828" s="15">
        <f>IF(E825&lt;=0,0,E811-E825)</f>
        <v>0</v>
      </c>
      <c r="F828" s="21"/>
      <c r="G828" s="15">
        <f>IF(G825&lt;=0,0,G811-G825)</f>
        <v>0</v>
      </c>
      <c r="H828" s="21"/>
      <c r="I828" s="15">
        <f>IF(I825&lt;=0,0,I811-I825)</f>
        <v>0</v>
      </c>
      <c r="J828" s="21"/>
      <c r="K828" s="15">
        <f>IF(K825&lt;=0,0,K811-K825)</f>
        <v>0</v>
      </c>
      <c r="L828" s="21"/>
      <c r="M828" s="15">
        <f>IF(M825&lt;=0,0,M811-M825)</f>
        <v>0</v>
      </c>
    </row>
    <row r="829" spans="2:13" ht="8.25" customHeight="1">
      <c r="E829" s="16"/>
      <c r="F829" s="16"/>
      <c r="G829" s="16"/>
      <c r="H829" s="16"/>
      <c r="I829" s="16"/>
      <c r="J829" s="16"/>
      <c r="K829" s="16"/>
      <c r="L829" s="40"/>
      <c r="M829" s="16"/>
    </row>
    <row r="830" spans="2:13">
      <c r="B830" s="1" t="s">
        <v>236</v>
      </c>
      <c r="E830" s="16"/>
      <c r="F830" s="16"/>
      <c r="G830" s="16"/>
      <c r="H830" s="16"/>
      <c r="I830" s="16"/>
      <c r="J830" s="16"/>
      <c r="K830" s="16"/>
      <c r="L830" s="40"/>
      <c r="M830" s="16"/>
    </row>
    <row r="831" spans="2:13">
      <c r="B831" s="1" t="s">
        <v>289</v>
      </c>
      <c r="E831" s="16"/>
      <c r="F831" s="16"/>
      <c r="G831" s="16"/>
      <c r="H831" s="16"/>
      <c r="I831" s="16"/>
      <c r="J831" s="16"/>
      <c r="K831" s="16"/>
      <c r="L831" s="40"/>
      <c r="M831" s="16"/>
    </row>
    <row r="832" spans="2:13">
      <c r="B832" s="1" t="str">
        <f>B38</f>
        <v xml:space="preserve">     (7-1-2011 to 12-31-2012) (Line 3 x 75%)</v>
      </c>
      <c r="E832" s="15">
        <f>SUM(E813*0.75)</f>
        <v>0</v>
      </c>
      <c r="F832" s="21"/>
      <c r="G832" s="15">
        <f>SUM(G813*0.75)</f>
        <v>0</v>
      </c>
      <c r="H832" s="21"/>
      <c r="I832" s="15">
        <f>SUM(I813*0.75)</f>
        <v>0</v>
      </c>
      <c r="J832" s="21"/>
      <c r="K832" s="15">
        <f>SUM(K813*0.75)</f>
        <v>0</v>
      </c>
      <c r="L832" s="40"/>
      <c r="M832" s="15">
        <f>SUM(M813*0.75)</f>
        <v>0</v>
      </c>
    </row>
    <row r="833" spans="2:14" ht="15">
      <c r="B833" s="35" t="str">
        <f>B40</f>
        <v>Tax Collection Ratio (Jan, Mar, June)</v>
      </c>
      <c r="E833" s="51">
        <f>IF(E811&lt;&gt;0,(E815+E817+E819+E821+E823)/E811*100,0)</f>
        <v>0</v>
      </c>
      <c r="F833" s="26" t="s">
        <v>290</v>
      </c>
      <c r="G833" s="51">
        <f>IF(G811&lt;&gt;0,(G815+G817+G819+G821+G823)/G811*100,0)</f>
        <v>0</v>
      </c>
      <c r="H833" s="26" t="s">
        <v>290</v>
      </c>
      <c r="I833" s="51">
        <f>IF(I811&lt;&gt;0,(I815+I817+I819+I821+I823)/I811*100,0)</f>
        <v>0</v>
      </c>
      <c r="J833" s="26" t="s">
        <v>290</v>
      </c>
      <c r="K833" s="51">
        <f>IF(K811&lt;&gt;0,(K815+K817+K819+K821+K823)/K811*100,0)</f>
        <v>0</v>
      </c>
      <c r="L833" s="26" t="s">
        <v>290</v>
      </c>
      <c r="M833" s="51">
        <f>IF(M811&lt;&gt;0,(M815+M817+M819+M821+M823)/M811*100,0)</f>
        <v>0</v>
      </c>
      <c r="N833" s="24" t="s">
        <v>290</v>
      </c>
    </row>
    <row r="834" spans="2:14" ht="3.75" customHeight="1"/>
    <row r="835" spans="2:14">
      <c r="B835" s="1" t="str">
        <f>B98</f>
        <v>*Amounts are available from the County Treasurer.       **These Jan.-June, 2011 amounts are available from the County Treasurer.  (Does not</v>
      </c>
    </row>
    <row r="836" spans="2:14">
      <c r="B836" s="1" t="str">
        <f>B99</f>
        <v xml:space="preserve"> include MVPT.  Should correspond to school records.)</v>
      </c>
    </row>
    <row r="837" spans="2:14" ht="15">
      <c r="B837" s="1" t="s">
        <v>148</v>
      </c>
      <c r="M837" s="2" t="s">
        <v>347</v>
      </c>
    </row>
    <row r="838" spans="2:14">
      <c r="B838" s="3">
        <f>B2</f>
        <v>40664</v>
      </c>
      <c r="C838" s="4"/>
      <c r="D838" s="4"/>
      <c r="G838" s="6" t="s">
        <v>150</v>
      </c>
      <c r="H838" s="6"/>
      <c r="I838" s="8" t="str">
        <f>I707</f>
        <v>395 - LaCrosse</v>
      </c>
      <c r="J838" s="8"/>
      <c r="K838" s="8"/>
      <c r="L838" s="6" t="s">
        <v>151</v>
      </c>
      <c r="M838" s="9">
        <f>M707</f>
        <v>395</v>
      </c>
    </row>
    <row r="839" spans="2:14">
      <c r="K839" s="6" t="s">
        <v>153</v>
      </c>
      <c r="M839" s="8" t="str">
        <f>M708</f>
        <v>ELLIS</v>
      </c>
    </row>
    <row r="840" spans="2:14" ht="9" customHeight="1">
      <c r="E840" s="12"/>
      <c r="F840" s="12"/>
      <c r="G840" s="12"/>
      <c r="H840" s="12"/>
      <c r="I840" s="12"/>
      <c r="J840" s="12"/>
      <c r="K840" s="13"/>
      <c r="L840" s="13"/>
      <c r="M840" s="12"/>
    </row>
    <row r="841" spans="2:14">
      <c r="B841" s="12" t="str">
        <f>B6</f>
        <v>2011-2012</v>
      </c>
      <c r="C841" s="12"/>
      <c r="D841" s="12"/>
      <c r="E841" s="12"/>
      <c r="F841" s="12"/>
      <c r="G841" s="12"/>
      <c r="H841" s="12"/>
      <c r="I841" s="12"/>
      <c r="J841" s="12"/>
      <c r="K841" s="12"/>
      <c r="L841" s="12"/>
      <c r="M841" s="12"/>
    </row>
    <row r="842" spans="2:14">
      <c r="B842" s="12" t="s">
        <v>155</v>
      </c>
      <c r="C842" s="12"/>
      <c r="D842" s="12"/>
      <c r="E842" s="12"/>
      <c r="F842" s="12"/>
      <c r="G842" s="12"/>
      <c r="H842" s="12"/>
      <c r="I842" s="12"/>
      <c r="J842" s="12"/>
      <c r="K842" s="12"/>
      <c r="L842" s="12"/>
      <c r="M842" s="12"/>
    </row>
    <row r="843" spans="2:14">
      <c r="B843" s="12" t="s">
        <v>156</v>
      </c>
      <c r="C843" s="12"/>
      <c r="D843" s="12"/>
      <c r="E843" s="12"/>
      <c r="F843" s="12"/>
      <c r="G843" s="12"/>
      <c r="H843" s="12"/>
      <c r="I843" s="12"/>
      <c r="J843" s="12"/>
      <c r="K843" s="12"/>
      <c r="L843" s="12"/>
      <c r="M843" s="12"/>
    </row>
    <row r="844" spans="2:14" ht="15">
      <c r="B844" s="14" t="s">
        <v>157</v>
      </c>
      <c r="C844" s="14"/>
      <c r="D844" s="14"/>
      <c r="E844" s="12"/>
      <c r="F844" s="12"/>
      <c r="G844" s="12"/>
      <c r="H844" s="12"/>
      <c r="I844" s="12"/>
      <c r="J844" s="12"/>
      <c r="K844" s="12"/>
      <c r="L844" s="12"/>
      <c r="M844" s="12"/>
    </row>
    <row r="845" spans="2:14" ht="8.25" customHeight="1">
      <c r="E845" s="10"/>
      <c r="F845" s="10"/>
      <c r="G845" s="10"/>
      <c r="H845" s="10"/>
      <c r="I845" s="10"/>
      <c r="J845" s="10"/>
      <c r="K845" s="10"/>
      <c r="L845" s="10"/>
      <c r="M845" s="10"/>
    </row>
    <row r="846" spans="2:14" ht="15">
      <c r="E846" s="465"/>
      <c r="F846" s="10"/>
      <c r="G846" s="10" t="str">
        <f>G150</f>
        <v>Rec. Comm</v>
      </c>
      <c r="H846" s="10"/>
      <c r="I846" s="10" t="s">
        <v>348</v>
      </c>
      <c r="J846" s="10"/>
      <c r="K846" s="35" t="s">
        <v>349</v>
      </c>
      <c r="L846" s="10"/>
      <c r="M846" s="40"/>
    </row>
    <row r="847" spans="2:14" ht="15">
      <c r="E847" s="466" t="s">
        <v>188</v>
      </c>
      <c r="F847" s="10"/>
      <c r="G847" s="10" t="str">
        <f>G151</f>
        <v>Emp Benef</v>
      </c>
      <c r="H847" s="10"/>
      <c r="I847" s="10" t="s">
        <v>350</v>
      </c>
      <c r="J847" s="10"/>
      <c r="K847" s="10" t="s">
        <v>351</v>
      </c>
      <c r="L847" s="10"/>
      <c r="M847" s="466" t="s">
        <v>441</v>
      </c>
    </row>
    <row r="848" spans="2:14" ht="15">
      <c r="E848" s="466" t="s">
        <v>89</v>
      </c>
      <c r="G848" s="10" t="str">
        <f>G152</f>
        <v>&amp; Spec Liab</v>
      </c>
      <c r="I848" s="10" t="s">
        <v>352</v>
      </c>
      <c r="K848" s="10" t="s">
        <v>353</v>
      </c>
      <c r="M848" s="466" t="s">
        <v>440</v>
      </c>
    </row>
    <row r="849" spans="2:13" ht="8.25" customHeight="1">
      <c r="G849" s="35"/>
    </row>
    <row r="850" spans="2:13">
      <c r="B850" s="1" t="str">
        <f>B15</f>
        <v>1.  County Treasurer Balance 6/30/2011 *</v>
      </c>
      <c r="E850" s="488"/>
      <c r="F850" s="46"/>
      <c r="G850" s="52"/>
      <c r="H850" s="46"/>
      <c r="I850" s="52"/>
      <c r="J850" s="46"/>
      <c r="K850" s="52"/>
      <c r="M850" s="488"/>
    </row>
    <row r="851" spans="2:13" ht="7.5" customHeight="1">
      <c r="B851" s="17"/>
      <c r="C851" s="17"/>
      <c r="D851" s="17"/>
      <c r="E851" s="53"/>
      <c r="F851" s="53"/>
      <c r="G851" s="53"/>
      <c r="H851" s="53"/>
      <c r="I851" s="53"/>
      <c r="J851" s="53"/>
      <c r="K851" s="53"/>
      <c r="M851" s="53"/>
    </row>
    <row r="852" spans="2:13">
      <c r="B852" s="1" t="str">
        <f>B17</f>
        <v>2.  2010 Actual Taxes Levied*</v>
      </c>
      <c r="E852" s="488"/>
      <c r="F852" s="46"/>
      <c r="G852" s="52"/>
      <c r="H852" s="46"/>
      <c r="I852" s="52"/>
      <c r="J852" s="46"/>
      <c r="K852" s="52"/>
      <c r="M852" s="488"/>
    </row>
    <row r="853" spans="2:13" ht="8.25" customHeight="1">
      <c r="E853" s="46"/>
      <c r="F853" s="46"/>
      <c r="G853" s="46"/>
      <c r="H853" s="46"/>
      <c r="I853" s="46"/>
      <c r="J853" s="46"/>
      <c r="K853" s="46"/>
      <c r="M853" s="46"/>
    </row>
    <row r="854" spans="2:13">
      <c r="B854" s="1" t="s">
        <v>330</v>
      </c>
      <c r="C854" s="33">
        <f>C724</f>
        <v>0</v>
      </c>
      <c r="D854" s="40"/>
      <c r="E854" s="469">
        <f>E852*$C$854/100</f>
        <v>0</v>
      </c>
      <c r="F854" s="15"/>
      <c r="G854" s="15">
        <f>G852*$C$854/100</f>
        <v>0</v>
      </c>
      <c r="H854" s="15"/>
      <c r="I854" s="15">
        <f>I852*$C$854/100</f>
        <v>0</v>
      </c>
      <c r="J854" s="15"/>
      <c r="K854" s="15">
        <f>K852*$C$854/100</f>
        <v>0</v>
      </c>
      <c r="L854" s="15"/>
      <c r="M854" s="15">
        <f>M852*$C$854/100</f>
        <v>0</v>
      </c>
    </row>
    <row r="855" spans="2:13" ht="8.25" customHeight="1">
      <c r="E855" s="46"/>
      <c r="F855" s="46"/>
      <c r="G855" s="46"/>
      <c r="H855" s="46"/>
      <c r="I855" s="46"/>
      <c r="J855" s="46"/>
      <c r="K855" s="46"/>
      <c r="M855" s="46"/>
    </row>
    <row r="856" spans="2:13">
      <c r="B856" s="1" t="str">
        <f>B21</f>
        <v>4.  Less:  Jan. 20, 2011 Taxes received**</v>
      </c>
      <c r="E856" s="488"/>
      <c r="F856" s="46"/>
      <c r="G856" s="52"/>
      <c r="H856" s="46"/>
      <c r="I856" s="52"/>
      <c r="J856" s="46"/>
      <c r="K856" s="52"/>
      <c r="M856" s="488"/>
    </row>
    <row r="857" spans="2:13" ht="8.25" customHeight="1">
      <c r="E857" s="46"/>
      <c r="F857" s="46"/>
      <c r="G857" s="46"/>
      <c r="H857" s="46"/>
      <c r="I857" s="46"/>
      <c r="J857" s="46"/>
      <c r="K857" s="46"/>
      <c r="M857" s="46"/>
    </row>
    <row r="858" spans="2:13">
      <c r="B858" s="1" t="str">
        <f>B23</f>
        <v>5.  Less:  Mar. 20, 2011  Taxes received**</v>
      </c>
      <c r="E858" s="488"/>
      <c r="F858" s="46"/>
      <c r="G858" s="52"/>
      <c r="H858" s="46"/>
      <c r="I858" s="52"/>
      <c r="J858" s="46"/>
      <c r="K858" s="52"/>
      <c r="M858" s="488"/>
    </row>
    <row r="859" spans="2:13" ht="8.25" customHeight="1">
      <c r="E859" s="56"/>
      <c r="F859" s="46"/>
      <c r="G859" s="56"/>
      <c r="H859" s="46"/>
      <c r="I859" s="56"/>
      <c r="J859" s="46"/>
      <c r="K859" s="56"/>
      <c r="M859" s="56"/>
    </row>
    <row r="860" spans="2:13">
      <c r="B860" s="1" t="str">
        <f>B25</f>
        <v>6.  Less:  June 5,  2011 Taxes received**</v>
      </c>
      <c r="E860" s="488"/>
      <c r="F860" s="46"/>
      <c r="G860" s="52"/>
      <c r="H860" s="46"/>
      <c r="I860" s="52"/>
      <c r="J860" s="46"/>
      <c r="K860" s="52"/>
      <c r="M860" s="488"/>
    </row>
    <row r="861" spans="2:13" ht="8.25" customHeight="1">
      <c r="E861" s="56"/>
      <c r="F861" s="46"/>
      <c r="G861" s="56"/>
      <c r="H861" s="46"/>
      <c r="I861" s="56"/>
      <c r="J861" s="46"/>
      <c r="K861" s="56"/>
      <c r="M861" s="56"/>
    </row>
    <row r="862" spans="2:13">
      <c r="B862" s="1" t="s">
        <v>286</v>
      </c>
      <c r="E862" s="488"/>
      <c r="F862" s="46"/>
      <c r="G862" s="52"/>
      <c r="H862" s="46"/>
      <c r="I862" s="52"/>
      <c r="J862" s="46"/>
      <c r="K862" s="52"/>
      <c r="M862" s="488"/>
    </row>
    <row r="863" spans="2:13" ht="6.75" customHeight="1">
      <c r="E863" s="46"/>
      <c r="F863" s="46"/>
      <c r="G863" s="46"/>
      <c r="H863" s="46"/>
      <c r="I863" s="46"/>
      <c r="J863" s="46"/>
      <c r="K863" s="46"/>
      <c r="M863" s="46"/>
    </row>
    <row r="864" spans="2:13">
      <c r="B864" s="1" t="s">
        <v>165</v>
      </c>
      <c r="E864" s="488"/>
      <c r="F864" s="46"/>
      <c r="G864" s="52"/>
      <c r="H864" s="46"/>
      <c r="I864" s="52"/>
      <c r="J864" s="46"/>
      <c r="K864" s="52"/>
      <c r="M864" s="488"/>
    </row>
    <row r="865" spans="2:14">
      <c r="B865" s="1" t="s">
        <v>166</v>
      </c>
      <c r="E865" s="489"/>
      <c r="F865" s="46"/>
      <c r="G865" s="54"/>
      <c r="H865" s="46"/>
      <c r="I865" s="54"/>
      <c r="J865" s="46"/>
      <c r="K865" s="54"/>
      <c r="M865" s="489"/>
    </row>
    <row r="866" spans="2:14">
      <c r="B866" s="1" t="s">
        <v>357</v>
      </c>
      <c r="E866" s="469">
        <f>SUM(E854:E865)</f>
        <v>0</v>
      </c>
      <c r="F866" s="21"/>
      <c r="G866" s="15">
        <f>SUM(G854:G865)</f>
        <v>0</v>
      </c>
      <c r="H866" s="21"/>
      <c r="I866" s="15">
        <f>SUM(I854:I865)</f>
        <v>0</v>
      </c>
      <c r="J866" s="21"/>
      <c r="K866" s="15">
        <f>SUM(K854:K865)</f>
        <v>0</v>
      </c>
      <c r="L866" s="40"/>
      <c r="M866" s="15">
        <f>SUM(M854:M865)</f>
        <v>0</v>
      </c>
    </row>
    <row r="867" spans="2:14" ht="6.75" customHeight="1">
      <c r="E867" s="16"/>
      <c r="F867" s="16"/>
      <c r="G867" s="16"/>
      <c r="H867" s="16"/>
      <c r="I867" s="16"/>
      <c r="J867" s="16"/>
      <c r="K867" s="16"/>
      <c r="L867" s="40"/>
      <c r="M867" s="16"/>
    </row>
    <row r="868" spans="2:14">
      <c r="B868" s="1" t="str">
        <f>B33</f>
        <v>11. 2010 taxes receivable (taxes in process</v>
      </c>
      <c r="E868" s="16"/>
      <c r="F868" s="16"/>
      <c r="G868" s="16"/>
      <c r="H868" s="16"/>
      <c r="I868" s="16"/>
      <c r="J868" s="16"/>
      <c r="K868" s="16"/>
      <c r="L868" s="40"/>
      <c r="M868" s="16"/>
    </row>
    <row r="869" spans="2:14">
      <c r="B869" s="1" t="str">
        <f>B34</f>
        <v xml:space="preserve">     of collection 6/30/2011)(Line 2 less Line 10)</v>
      </c>
      <c r="E869" s="469">
        <f>IF(E866&lt;=0,0,E852-E866)</f>
        <v>0</v>
      </c>
      <c r="F869" s="21"/>
      <c r="G869" s="15">
        <f>IF(G866&lt;=0,0,G852-G866)</f>
        <v>0</v>
      </c>
      <c r="H869" s="21"/>
      <c r="I869" s="15">
        <f>IF(I866&lt;=0,0,I852-I866)</f>
        <v>0</v>
      </c>
      <c r="J869" s="21"/>
      <c r="K869" s="15">
        <f>IF(K866&lt;=0,0,K852-K866)</f>
        <v>0</v>
      </c>
      <c r="L869" s="21"/>
      <c r="M869" s="15">
        <f>IF(M866&lt;=0,0,M852-M866)</f>
        <v>0</v>
      </c>
    </row>
    <row r="870" spans="2:14" ht="8.25" customHeight="1">
      <c r="E870" s="16"/>
      <c r="F870" s="16"/>
      <c r="G870" s="16"/>
      <c r="H870" s="16"/>
      <c r="I870" s="16"/>
      <c r="J870" s="16"/>
      <c r="K870" s="16"/>
      <c r="L870" s="40"/>
      <c r="M870" s="16"/>
    </row>
    <row r="871" spans="2:14">
      <c r="B871" s="1" t="s">
        <v>236</v>
      </c>
      <c r="E871" s="16"/>
      <c r="F871" s="16"/>
      <c r="G871" s="16"/>
      <c r="H871" s="16"/>
      <c r="I871" s="16"/>
      <c r="J871" s="16"/>
      <c r="K871" s="16"/>
      <c r="L871" s="40"/>
      <c r="M871" s="16"/>
    </row>
    <row r="872" spans="2:14">
      <c r="B872" s="1" t="s">
        <v>289</v>
      </c>
      <c r="E872" s="16"/>
      <c r="F872" s="16"/>
      <c r="G872" s="16"/>
      <c r="H872" s="16"/>
      <c r="I872" s="16"/>
      <c r="J872" s="16"/>
      <c r="K872" s="16"/>
      <c r="L872" s="40"/>
      <c r="M872" s="16"/>
    </row>
    <row r="873" spans="2:14">
      <c r="B873" s="1" t="str">
        <f>B38</f>
        <v xml:space="preserve">     (7-1-2011 to 12-31-2012) (Line 3 x 75%)</v>
      </c>
      <c r="E873" s="469">
        <f>SUM(E854*0.75)</f>
        <v>0</v>
      </c>
      <c r="F873" s="21"/>
      <c r="G873" s="15">
        <f>SUM(G854*0.75)</f>
        <v>0</v>
      </c>
      <c r="H873" s="21"/>
      <c r="I873" s="15">
        <f>SUM(I854*0.75)</f>
        <v>0</v>
      </c>
      <c r="J873" s="21"/>
      <c r="K873" s="15">
        <f>SUM(K854*0.75)</f>
        <v>0</v>
      </c>
      <c r="L873" s="40"/>
      <c r="M873" s="15">
        <f>SUM(M854*0.75)</f>
        <v>0</v>
      </c>
    </row>
    <row r="874" spans="2:14" ht="15">
      <c r="B874" s="35" t="str">
        <f>B40</f>
        <v>Tax Collection Ratio (Jan, Mar, June)</v>
      </c>
      <c r="E874" s="51">
        <f>IF(E852&lt;&gt;0,(E856+E858+E860+E862+E864)/E852*100,0)</f>
        <v>0</v>
      </c>
      <c r="F874" s="26" t="s">
        <v>290</v>
      </c>
      <c r="G874" s="51">
        <f>IF(G852&lt;&gt;0,(G856+G858+G860+G862+G864)/G852*100,0)</f>
        <v>0</v>
      </c>
      <c r="H874" s="26" t="s">
        <v>290</v>
      </c>
      <c r="I874" s="51">
        <f>IF(I852&lt;&gt;0,(I856+I858+I860+I862+I864)/I852*100,0)</f>
        <v>0</v>
      </c>
      <c r="J874" s="26" t="s">
        <v>290</v>
      </c>
      <c r="K874" s="51">
        <f>IF(K852&lt;&gt;0,(K856+K858+K860+K862+K864)/K852*100,0)</f>
        <v>0</v>
      </c>
      <c r="L874" s="26" t="s">
        <v>290</v>
      </c>
      <c r="M874" s="51">
        <f>IF(M852&lt;&gt;0,(M856+M858+M860+M862+M864)/M852*100,0)</f>
        <v>0</v>
      </c>
      <c r="N874" s="24" t="s">
        <v>290</v>
      </c>
    </row>
    <row r="875" spans="2:14" ht="5.0999999999999996" customHeight="1">
      <c r="M875" s="40"/>
    </row>
    <row r="876" spans="2:14" ht="14.1" customHeight="1">
      <c r="B876" s="1" t="str">
        <f>B98</f>
        <v>*Amounts are available from the County Treasurer.       **These Jan.-June, 2011 amounts are available from the County Treasurer.  (Does not</v>
      </c>
    </row>
    <row r="877" spans="2:14">
      <c r="B877" s="1" t="str">
        <f>B99</f>
        <v xml:space="preserve"> include MVPT.  Should correspond to school records.)</v>
      </c>
    </row>
    <row r="878" spans="2:14" ht="15">
      <c r="B878" s="1" t="s">
        <v>148</v>
      </c>
      <c r="M878" s="2" t="s">
        <v>149</v>
      </c>
    </row>
    <row r="879" spans="2:14">
      <c r="B879" s="3">
        <f>B2</f>
        <v>40664</v>
      </c>
      <c r="C879" s="4"/>
      <c r="D879" s="4"/>
      <c r="F879" s="6"/>
      <c r="G879" s="6" t="s">
        <v>150</v>
      </c>
      <c r="H879" s="6"/>
      <c r="I879" s="7" t="str">
        <f>I838</f>
        <v>395 - LaCrosse</v>
      </c>
      <c r="J879" s="8"/>
      <c r="K879" s="8"/>
      <c r="L879" s="6" t="s">
        <v>151</v>
      </c>
      <c r="M879" s="9">
        <f>M838</f>
        <v>395</v>
      </c>
    </row>
    <row r="880" spans="2:14">
      <c r="K880" s="6" t="s">
        <v>153</v>
      </c>
      <c r="M880" s="57">
        <v>0</v>
      </c>
    </row>
    <row r="881" spans="2:13" ht="7.5" customHeight="1">
      <c r="E881" s="12"/>
      <c r="F881" s="12"/>
      <c r="G881" s="12"/>
      <c r="H881" s="12"/>
      <c r="I881" s="12"/>
      <c r="J881" s="12"/>
      <c r="K881" s="13"/>
      <c r="L881" s="13"/>
      <c r="M881" s="12"/>
    </row>
    <row r="882" spans="2:13" ht="8.25" customHeight="1">
      <c r="E882" s="12"/>
      <c r="F882" s="12"/>
      <c r="G882" s="12"/>
      <c r="H882" s="12"/>
      <c r="I882" s="12"/>
      <c r="J882" s="12"/>
      <c r="K882" s="13"/>
      <c r="L882" s="13"/>
      <c r="M882" s="12"/>
    </row>
    <row r="883" spans="2:13">
      <c r="B883" s="12" t="str">
        <f>B6</f>
        <v>2011-2012</v>
      </c>
      <c r="C883" s="12"/>
      <c r="D883" s="12"/>
      <c r="E883" s="12"/>
      <c r="F883" s="12"/>
      <c r="G883" s="12"/>
      <c r="H883" s="12"/>
      <c r="I883" s="12"/>
      <c r="J883" s="12"/>
      <c r="K883" s="12"/>
      <c r="L883" s="12"/>
      <c r="M883" s="12"/>
    </row>
    <row r="884" spans="2:13">
      <c r="B884" s="12" t="s">
        <v>155</v>
      </c>
      <c r="C884" s="12"/>
      <c r="D884" s="12"/>
      <c r="E884" s="12"/>
      <c r="F884" s="12"/>
      <c r="G884" s="12"/>
      <c r="H884" s="12"/>
      <c r="I884" s="12"/>
      <c r="J884" s="12"/>
      <c r="K884" s="12"/>
      <c r="L884" s="12"/>
      <c r="M884" s="12"/>
    </row>
    <row r="885" spans="2:13">
      <c r="B885" s="12" t="s">
        <v>156</v>
      </c>
      <c r="C885" s="12"/>
      <c r="D885" s="12"/>
      <c r="E885" s="12"/>
      <c r="F885" s="12"/>
      <c r="G885" s="12"/>
      <c r="H885" s="12"/>
      <c r="I885" s="12"/>
      <c r="J885" s="12"/>
      <c r="K885" s="12"/>
      <c r="L885" s="12"/>
      <c r="M885" s="12"/>
    </row>
    <row r="886" spans="2:13" ht="15">
      <c r="B886" s="14" t="s">
        <v>157</v>
      </c>
      <c r="C886" s="14"/>
      <c r="D886" s="14"/>
      <c r="E886" s="12"/>
      <c r="F886" s="12"/>
      <c r="G886" s="12"/>
      <c r="H886" s="12"/>
      <c r="I886" s="12"/>
      <c r="J886" s="12"/>
      <c r="K886" s="12"/>
      <c r="L886" s="12"/>
      <c r="M886" s="12"/>
    </row>
    <row r="887" spans="2:13" ht="7.5" customHeight="1"/>
    <row r="888" spans="2:13" ht="15">
      <c r="E888" s="10"/>
      <c r="F888" s="10"/>
      <c r="G888" s="10" t="s">
        <v>158</v>
      </c>
      <c r="H888" s="10"/>
      <c r="I888" s="10" t="s">
        <v>159</v>
      </c>
      <c r="J888" s="10"/>
      <c r="K888" s="10" t="s">
        <v>160</v>
      </c>
      <c r="L888" s="10"/>
      <c r="M888" s="10"/>
    </row>
    <row r="889" spans="2:13" ht="15">
      <c r="E889" s="10" t="s">
        <v>280</v>
      </c>
      <c r="F889" s="10"/>
      <c r="G889" s="10" t="s">
        <v>280</v>
      </c>
      <c r="H889" s="10"/>
      <c r="I889" s="10" t="s">
        <v>281</v>
      </c>
      <c r="J889" s="10"/>
      <c r="K889" s="10" t="s">
        <v>282</v>
      </c>
      <c r="L889" s="10"/>
      <c r="M889" s="10" t="s">
        <v>283</v>
      </c>
    </row>
    <row r="890" spans="2:13" ht="15">
      <c r="E890" s="10" t="s">
        <v>284</v>
      </c>
      <c r="F890" s="10"/>
      <c r="G890" s="10" t="s">
        <v>284</v>
      </c>
      <c r="H890" s="10"/>
      <c r="I890" s="10" t="s">
        <v>284</v>
      </c>
      <c r="J890" s="10"/>
      <c r="K890" s="10" t="str">
        <f>K13</f>
        <v>Fund #1</v>
      </c>
      <c r="L890" s="10"/>
      <c r="M890" s="10" t="str">
        <f>M13</f>
        <v>Fund</v>
      </c>
    </row>
    <row r="891" spans="2:13" ht="7.5" customHeight="1"/>
    <row r="892" spans="2:13">
      <c r="B892" s="1" t="str">
        <f>B15</f>
        <v>1.  County Treasurer Balance 6/30/2011 *</v>
      </c>
      <c r="E892" s="52"/>
      <c r="F892" s="46"/>
      <c r="G892" s="52"/>
      <c r="H892" s="46"/>
      <c r="I892" s="52"/>
      <c r="J892" s="46"/>
      <c r="K892" s="52"/>
      <c r="L892" s="46"/>
      <c r="M892" s="52"/>
    </row>
    <row r="893" spans="2:13" ht="7.5" customHeight="1">
      <c r="B893" s="17"/>
      <c r="C893" s="17"/>
      <c r="D893" s="17"/>
      <c r="E893" s="53"/>
      <c r="F893" s="53"/>
      <c r="G893" s="53"/>
      <c r="H893" s="53"/>
      <c r="I893" s="53"/>
      <c r="J893" s="53"/>
      <c r="K893" s="53"/>
      <c r="L893" s="53"/>
      <c r="M893" s="53"/>
    </row>
    <row r="894" spans="2:13">
      <c r="B894" s="1" t="str">
        <f>B17</f>
        <v>2.  2010 Actual Taxes Levied*</v>
      </c>
      <c r="E894" s="52"/>
      <c r="F894" s="46"/>
      <c r="G894" s="52"/>
      <c r="H894" s="46"/>
      <c r="I894" s="52"/>
      <c r="J894" s="46"/>
      <c r="K894" s="52"/>
      <c r="L894" s="16"/>
      <c r="M894" s="52"/>
    </row>
    <row r="895" spans="2:13" ht="9" customHeight="1">
      <c r="E895" s="46"/>
      <c r="F895" s="46"/>
      <c r="G895" s="46"/>
      <c r="H895" s="46"/>
      <c r="I895" s="46"/>
      <c r="J895" s="46"/>
      <c r="K895" s="46"/>
      <c r="L895" s="46"/>
      <c r="M895" s="46"/>
    </row>
    <row r="896" spans="2:13">
      <c r="B896" s="1" t="s">
        <v>285</v>
      </c>
      <c r="C896" s="19"/>
      <c r="E896" s="15">
        <f>SUM(E894*$C$896/100)</f>
        <v>0</v>
      </c>
      <c r="F896" s="15"/>
      <c r="G896" s="15">
        <f>SUM(G894*$C$896/100)</f>
        <v>0</v>
      </c>
      <c r="H896" s="15"/>
      <c r="I896" s="15">
        <f>SUM(I894*$C$896/100)</f>
        <v>0</v>
      </c>
      <c r="J896" s="15"/>
      <c r="K896" s="15">
        <f>SUM(K894*$C$896/100)</f>
        <v>0</v>
      </c>
      <c r="L896" s="15"/>
      <c r="M896" s="15">
        <f>SUM(M894*$C$896/100)</f>
        <v>0</v>
      </c>
    </row>
    <row r="897" spans="2:13" ht="9.75" customHeight="1">
      <c r="E897" s="46"/>
      <c r="F897" s="46"/>
      <c r="G897" s="46"/>
      <c r="H897" s="46"/>
      <c r="I897" s="46"/>
      <c r="J897" s="46"/>
      <c r="K897" s="46"/>
      <c r="L897" s="46"/>
      <c r="M897" s="46"/>
    </row>
    <row r="898" spans="2:13">
      <c r="B898" s="1" t="str">
        <f>B21</f>
        <v>4.  Less:  Jan. 20, 2011 Taxes received**</v>
      </c>
      <c r="C898" s="6"/>
      <c r="E898" s="52"/>
      <c r="F898" s="46"/>
      <c r="G898" s="52"/>
      <c r="H898" s="46"/>
      <c r="I898" s="52"/>
      <c r="J898" s="46"/>
      <c r="K898" s="52"/>
      <c r="L898" s="46"/>
      <c r="M898" s="52"/>
    </row>
    <row r="899" spans="2:13" ht="9.75" customHeight="1">
      <c r="E899" s="46"/>
      <c r="F899" s="46"/>
      <c r="G899" s="46"/>
      <c r="H899" s="46"/>
      <c r="I899" s="46"/>
      <c r="J899" s="46"/>
      <c r="K899" s="46"/>
      <c r="L899" s="46"/>
      <c r="M899" s="46"/>
    </row>
    <row r="900" spans="2:13">
      <c r="B900" s="1" t="str">
        <f>B23</f>
        <v>5.  Less:  Mar. 20, 2011  Taxes received**</v>
      </c>
      <c r="E900" s="52"/>
      <c r="F900" s="46"/>
      <c r="G900" s="52"/>
      <c r="H900" s="46"/>
      <c r="I900" s="52"/>
      <c r="J900" s="46"/>
      <c r="K900" s="52"/>
      <c r="L900" s="46"/>
      <c r="M900" s="52"/>
    </row>
    <row r="901" spans="2:13" ht="9.75" customHeight="1">
      <c r="E901" s="46"/>
      <c r="F901" s="46"/>
      <c r="G901" s="46"/>
      <c r="H901" s="46"/>
      <c r="I901" s="46"/>
      <c r="J901" s="46"/>
      <c r="K901" s="46"/>
      <c r="L901" s="46"/>
      <c r="M901" s="46"/>
    </row>
    <row r="902" spans="2:13">
      <c r="B902" s="1" t="str">
        <f>B25</f>
        <v>6.  Less:  June 5,  2011 Taxes received**</v>
      </c>
      <c r="E902" s="52"/>
      <c r="F902" s="46"/>
      <c r="G902" s="52"/>
      <c r="H902" s="46"/>
      <c r="I902" s="52"/>
      <c r="J902" s="46"/>
      <c r="K902" s="52"/>
      <c r="L902" s="46"/>
      <c r="M902" s="52"/>
    </row>
    <row r="903" spans="2:13" ht="9.75" customHeight="1">
      <c r="E903" s="46"/>
      <c r="F903" s="46"/>
      <c r="G903" s="46"/>
      <c r="H903" s="46"/>
      <c r="I903" s="46"/>
      <c r="J903" s="46"/>
      <c r="K903" s="46"/>
      <c r="L903" s="46"/>
      <c r="M903" s="46"/>
    </row>
    <row r="904" spans="2:13">
      <c r="B904" s="1" t="s">
        <v>286</v>
      </c>
      <c r="E904" s="52"/>
      <c r="F904" s="46"/>
      <c r="G904" s="52"/>
      <c r="H904" s="46"/>
      <c r="I904" s="52"/>
      <c r="J904" s="46"/>
      <c r="K904" s="52"/>
      <c r="L904" s="46"/>
      <c r="M904" s="52"/>
    </row>
    <row r="905" spans="2:13" ht="9.75" customHeight="1">
      <c r="E905" s="46"/>
      <c r="F905" s="46"/>
      <c r="G905" s="46"/>
      <c r="H905" s="46"/>
      <c r="I905" s="16"/>
      <c r="J905" s="46"/>
      <c r="K905" s="46"/>
      <c r="L905" s="46"/>
      <c r="M905" s="46"/>
    </row>
    <row r="906" spans="2:13">
      <c r="B906" s="1" t="s">
        <v>165</v>
      </c>
      <c r="E906" s="52"/>
      <c r="F906" s="46"/>
      <c r="G906" s="52"/>
      <c r="H906" s="46"/>
      <c r="I906" s="52"/>
      <c r="J906" s="46"/>
      <c r="K906" s="52"/>
      <c r="L906" s="46"/>
      <c r="M906" s="52"/>
    </row>
    <row r="907" spans="2:13" ht="12.75" customHeight="1">
      <c r="B907" s="1" t="s">
        <v>166</v>
      </c>
      <c r="E907" s="54"/>
      <c r="F907" s="46"/>
      <c r="G907" s="54"/>
      <c r="H907" s="46"/>
      <c r="I907" s="54"/>
      <c r="J907" s="46"/>
      <c r="K907" s="54"/>
      <c r="L907" s="46"/>
      <c r="M907" s="54"/>
    </row>
    <row r="908" spans="2:13">
      <c r="B908" s="1" t="s">
        <v>167</v>
      </c>
      <c r="E908" s="15">
        <f>SUM(E896:E907)</f>
        <v>0</v>
      </c>
      <c r="F908" s="16"/>
      <c r="G908" s="15">
        <f>SUM(G896:G907)</f>
        <v>0</v>
      </c>
      <c r="H908" s="16"/>
      <c r="I908" s="15">
        <f>SUM(I896:I907)</f>
        <v>0</v>
      </c>
      <c r="J908" s="16"/>
      <c r="K908" s="15">
        <f>SUM(K896:K907)</f>
        <v>0</v>
      </c>
      <c r="L908" s="16"/>
      <c r="M908" s="15">
        <f>SUM(M896:M907)</f>
        <v>0</v>
      </c>
    </row>
    <row r="909" spans="2:13" ht="7.5" customHeight="1">
      <c r="E909" s="16"/>
      <c r="F909" s="16"/>
      <c r="G909" s="16"/>
      <c r="H909" s="16"/>
      <c r="I909" s="16"/>
      <c r="J909" s="16"/>
      <c r="K909" s="16"/>
      <c r="L909" s="16"/>
      <c r="M909" s="16"/>
    </row>
    <row r="910" spans="2:13">
      <c r="B910" s="1" t="str">
        <f>B33</f>
        <v>11. 2010 taxes receivable (taxes in process</v>
      </c>
      <c r="E910" s="16"/>
      <c r="F910" s="16"/>
      <c r="G910" s="16"/>
      <c r="H910" s="16"/>
      <c r="I910" s="16"/>
      <c r="J910" s="16"/>
      <c r="K910" s="16"/>
      <c r="L910" s="16"/>
      <c r="M910" s="16"/>
    </row>
    <row r="911" spans="2:13">
      <c r="B911" s="1" t="str">
        <f>B34</f>
        <v xml:space="preserve">     of collection 6/30/2011)(Line 2 less Line 10)</v>
      </c>
      <c r="E911" s="15">
        <f>IF(E908&lt;=0,0,E894-E908)</f>
        <v>0</v>
      </c>
      <c r="F911" s="16"/>
      <c r="G911" s="15">
        <f>IF(G908&lt;=0,0,G894-G908)</f>
        <v>0</v>
      </c>
      <c r="H911" s="16"/>
      <c r="I911" s="15">
        <f>IF(I908&lt;=0,0,I894-I908)</f>
        <v>0</v>
      </c>
      <c r="J911" s="16"/>
      <c r="K911" s="15">
        <f>IF(K908&lt;=0,0,(K894-K908))</f>
        <v>0</v>
      </c>
      <c r="L911" s="16"/>
      <c r="M911" s="15">
        <f>IF(M908&lt;=0,0,M894-M908)</f>
        <v>0</v>
      </c>
    </row>
    <row r="912" spans="2:13" ht="6.75" customHeight="1">
      <c r="E912" s="21"/>
      <c r="F912" s="16"/>
      <c r="G912" s="21"/>
      <c r="H912" s="16"/>
      <c r="I912" s="21"/>
      <c r="J912" s="16"/>
      <c r="K912" s="21"/>
      <c r="L912" s="16"/>
      <c r="M912" s="21"/>
    </row>
    <row r="913" spans="2:14">
      <c r="B913" s="1" t="s">
        <v>288</v>
      </c>
      <c r="E913" s="16"/>
      <c r="F913" s="16"/>
      <c r="G913" s="16"/>
      <c r="H913" s="16"/>
      <c r="I913" s="16"/>
      <c r="J913" s="16"/>
      <c r="K913" s="16"/>
      <c r="L913" s="16"/>
      <c r="M913" s="16"/>
    </row>
    <row r="914" spans="2:14">
      <c r="B914" s="1" t="s">
        <v>289</v>
      </c>
      <c r="E914" s="16"/>
      <c r="F914" s="16"/>
      <c r="G914" s="16"/>
      <c r="H914" s="16"/>
      <c r="I914" s="16"/>
      <c r="J914" s="16"/>
      <c r="K914" s="16"/>
      <c r="L914" s="16"/>
      <c r="M914" s="16"/>
    </row>
    <row r="915" spans="2:14">
      <c r="B915" s="1" t="str">
        <f>B38</f>
        <v xml:space="preserve">     (7-1-2011 to 12-31-2012) (Line 3 x 75%)</v>
      </c>
      <c r="E915" s="15">
        <f>SUM(E896*0.75)</f>
        <v>0</v>
      </c>
      <c r="F915" s="16"/>
      <c r="G915" s="15">
        <f>SUM(G896*0.75)</f>
        <v>0</v>
      </c>
      <c r="H915" s="16"/>
      <c r="I915" s="15">
        <f>SUM(I896*0.75)</f>
        <v>0</v>
      </c>
      <c r="J915" s="16"/>
      <c r="K915" s="15">
        <f>SUM(K896*0.75)</f>
        <v>0</v>
      </c>
      <c r="L915" s="16"/>
      <c r="M915" s="15">
        <f>SUM(M896*0.75)</f>
        <v>0</v>
      </c>
    </row>
    <row r="916" spans="2:14" ht="15">
      <c r="B916" s="41" t="str">
        <f>B40</f>
        <v>Tax Collection Ratio (Jan, Mar, June)</v>
      </c>
      <c r="C916" s="17"/>
      <c r="D916" s="17"/>
      <c r="E916" s="42">
        <f>IF(E894&lt;&gt;0,(E898+E900+E902+E904+E906)/E894*100,0)</f>
        <v>0</v>
      </c>
      <c r="F916" s="26" t="s">
        <v>290</v>
      </c>
      <c r="G916" s="42">
        <f>IF(G894&lt;&gt;0,(G898+G900+G902+G904+G906)/G894*100,0)</f>
        <v>0</v>
      </c>
      <c r="H916" s="26" t="s">
        <v>290</v>
      </c>
      <c r="I916" s="42">
        <f>IF(I894&lt;&gt;0,(I898+I900+I902+I904+I906)/I894*100,0)</f>
        <v>0</v>
      </c>
      <c r="J916" s="26" t="s">
        <v>290</v>
      </c>
      <c r="K916" s="42">
        <f>IF(K894&lt;&gt;0,(K898+K900+K902+K904+K906)/K894*100,0)</f>
        <v>0</v>
      </c>
      <c r="L916" s="26" t="s">
        <v>290</v>
      </c>
      <c r="M916" s="42">
        <f>IF(M894&lt;&gt;0,(M898+M900+M902+M904+M906)/M894*100,0)</f>
        <v>0</v>
      </c>
      <c r="N916" s="24" t="s">
        <v>290</v>
      </c>
    </row>
    <row r="917" spans="2:14" ht="3" customHeight="1">
      <c r="B917" s="27"/>
      <c r="C917" s="24"/>
      <c r="D917" s="24"/>
      <c r="E917" s="24"/>
      <c r="F917" s="24"/>
      <c r="G917" s="24"/>
      <c r="H917" s="24"/>
      <c r="I917" s="24"/>
      <c r="J917" s="24"/>
      <c r="K917" s="24"/>
      <c r="L917" s="24"/>
      <c r="M917" s="24"/>
    </row>
    <row r="918" spans="2:14" ht="12.75" customHeight="1">
      <c r="B918" s="1" t="str">
        <f>B98</f>
        <v>*Amounts are available from the County Treasurer.       **These Jan.-June, 2011 amounts are available from the County Treasurer.  (Does not</v>
      </c>
      <c r="C918" s="28"/>
      <c r="D918" s="28"/>
      <c r="E918" s="28"/>
      <c r="F918" s="28"/>
      <c r="G918" s="28"/>
      <c r="H918" s="28"/>
      <c r="I918" s="56"/>
      <c r="J918" s="34"/>
      <c r="K918" s="34"/>
      <c r="L918" s="34"/>
      <c r="M918" s="34"/>
    </row>
    <row r="919" spans="2:14">
      <c r="B919" s="1" t="str">
        <f>B99</f>
        <v xml:space="preserve"> include MVPT.  Should correspond to school records.)</v>
      </c>
    </row>
    <row r="920" spans="2:14">
      <c r="B920" s="1" t="s">
        <v>354</v>
      </c>
    </row>
    <row r="921" spans="2:14" ht="15">
      <c r="B921" s="1" t="s">
        <v>148</v>
      </c>
      <c r="M921" s="2" t="s">
        <v>178</v>
      </c>
    </row>
    <row r="922" spans="2:14">
      <c r="B922" s="3">
        <f>B2</f>
        <v>40664</v>
      </c>
      <c r="C922" s="4"/>
      <c r="D922" s="4"/>
      <c r="F922" s="6"/>
      <c r="G922" s="6" t="s">
        <v>150</v>
      </c>
      <c r="H922" s="6"/>
      <c r="I922" s="8" t="str">
        <f>I879</f>
        <v>395 - LaCrosse</v>
      </c>
      <c r="J922" s="8"/>
      <c r="K922" s="38" t="s">
        <v>151</v>
      </c>
      <c r="L922" s="37"/>
      <c r="M922" s="9">
        <f>M879</f>
        <v>395</v>
      </c>
    </row>
    <row r="923" spans="2:14">
      <c r="K923" s="6" t="s">
        <v>153</v>
      </c>
      <c r="M923" s="8">
        <f>M880</f>
        <v>0</v>
      </c>
    </row>
    <row r="924" spans="2:14" ht="7.5" customHeight="1">
      <c r="E924" s="12"/>
      <c r="F924" s="12"/>
      <c r="G924" s="12"/>
      <c r="H924" s="12"/>
      <c r="I924" s="12"/>
      <c r="J924" s="12"/>
      <c r="K924" s="13"/>
      <c r="L924" s="13"/>
      <c r="M924" s="12"/>
    </row>
    <row r="925" spans="2:14">
      <c r="B925" s="12" t="str">
        <f>B6</f>
        <v>2011-2012</v>
      </c>
      <c r="C925" s="12"/>
      <c r="D925" s="12"/>
      <c r="E925" s="12"/>
      <c r="F925" s="12"/>
      <c r="G925" s="12"/>
      <c r="H925" s="12"/>
      <c r="I925" s="12"/>
      <c r="J925" s="12"/>
      <c r="K925" s="12"/>
      <c r="L925" s="12"/>
      <c r="M925" s="12"/>
    </row>
    <row r="926" spans="2:14">
      <c r="B926" s="12" t="s">
        <v>155</v>
      </c>
      <c r="C926" s="12"/>
      <c r="D926" s="12"/>
      <c r="E926" s="12"/>
      <c r="F926" s="12"/>
      <c r="G926" s="12"/>
      <c r="H926" s="12"/>
      <c r="I926" s="12"/>
      <c r="J926" s="12"/>
      <c r="K926" s="12"/>
      <c r="L926" s="12"/>
      <c r="M926" s="12"/>
    </row>
    <row r="927" spans="2:14">
      <c r="B927" s="12" t="s">
        <v>156</v>
      </c>
      <c r="C927" s="12"/>
      <c r="D927" s="12"/>
      <c r="E927" s="12"/>
      <c r="F927" s="12"/>
      <c r="G927" s="12"/>
      <c r="H927" s="12"/>
      <c r="I927" s="12"/>
      <c r="J927" s="12"/>
      <c r="K927" s="12"/>
      <c r="L927" s="12"/>
      <c r="M927" s="12"/>
    </row>
    <row r="928" spans="2:14" ht="15">
      <c r="B928" s="14" t="s">
        <v>157</v>
      </c>
      <c r="C928" s="14"/>
      <c r="D928" s="14"/>
      <c r="E928" s="12"/>
      <c r="F928" s="12"/>
      <c r="G928" s="12"/>
      <c r="H928" s="12"/>
      <c r="I928" s="12"/>
      <c r="J928" s="12"/>
      <c r="K928" s="12"/>
      <c r="L928" s="12"/>
      <c r="M928" s="12"/>
    </row>
    <row r="929" spans="2:14" ht="8.25" customHeight="1">
      <c r="E929" s="10"/>
      <c r="F929" s="10"/>
      <c r="G929" s="10"/>
      <c r="H929" s="10"/>
      <c r="I929" s="10"/>
      <c r="J929" s="10"/>
      <c r="K929" s="10"/>
      <c r="L929" s="10"/>
      <c r="M929" s="10"/>
    </row>
    <row r="930" spans="2:14" ht="15">
      <c r="E930" s="10" t="s">
        <v>179</v>
      </c>
      <c r="F930" s="10"/>
      <c r="G930" s="419" t="s">
        <v>180</v>
      </c>
      <c r="H930" s="10"/>
      <c r="I930" s="419" t="s">
        <v>181</v>
      </c>
      <c r="J930" s="10"/>
      <c r="K930" s="419" t="s">
        <v>182</v>
      </c>
      <c r="M930"/>
      <c r="N930"/>
    </row>
    <row r="931" spans="2:14" ht="15">
      <c r="E931" s="10" t="s">
        <v>328</v>
      </c>
      <c r="F931" s="10"/>
      <c r="G931" s="10" t="s">
        <v>24</v>
      </c>
      <c r="H931" s="10"/>
      <c r="I931" s="419" t="s">
        <v>329</v>
      </c>
      <c r="J931" s="10"/>
      <c r="K931" s="419" t="str">
        <f>K61</f>
        <v>Interest #2</v>
      </c>
      <c r="M931"/>
      <c r="N931"/>
    </row>
    <row r="932" spans="2:14" ht="7.5" customHeight="1">
      <c r="M932"/>
      <c r="N932"/>
    </row>
    <row r="933" spans="2:14">
      <c r="B933" s="1" t="str">
        <f>B15</f>
        <v>1.  County Treasurer Balance 6/30/2011 *</v>
      </c>
      <c r="E933" s="52"/>
      <c r="F933" s="46"/>
      <c r="G933" s="52"/>
      <c r="H933" s="46"/>
      <c r="I933" s="52"/>
      <c r="J933" s="46"/>
      <c r="K933" s="52"/>
      <c r="M933"/>
      <c r="N933"/>
    </row>
    <row r="934" spans="2:14" ht="6.75" customHeight="1">
      <c r="B934" s="17"/>
      <c r="C934" s="17"/>
      <c r="D934" s="17"/>
      <c r="E934" s="53"/>
      <c r="F934" s="53"/>
      <c r="G934" s="53"/>
      <c r="H934" s="53"/>
      <c r="I934" s="53"/>
      <c r="J934" s="53"/>
      <c r="K934" s="53"/>
      <c r="M934"/>
      <c r="N934"/>
    </row>
    <row r="935" spans="2:14">
      <c r="B935" s="1" t="str">
        <f>B17</f>
        <v>2.  2010 Actual Taxes Levied*</v>
      </c>
      <c r="E935" s="52"/>
      <c r="F935" s="46"/>
      <c r="G935" s="52"/>
      <c r="H935" s="46"/>
      <c r="I935" s="52"/>
      <c r="J935" s="46"/>
      <c r="K935" s="52"/>
      <c r="M935"/>
      <c r="N935"/>
    </row>
    <row r="936" spans="2:14" ht="8.25" customHeight="1">
      <c r="E936" s="46"/>
      <c r="F936" s="46"/>
      <c r="G936" s="46"/>
      <c r="H936" s="46"/>
      <c r="I936" s="46"/>
      <c r="J936" s="46"/>
      <c r="K936" s="46"/>
      <c r="M936"/>
      <c r="N936"/>
    </row>
    <row r="937" spans="2:14">
      <c r="B937" s="1" t="s">
        <v>330</v>
      </c>
      <c r="C937" s="33">
        <f>C896</f>
        <v>0</v>
      </c>
      <c r="D937" s="40"/>
      <c r="E937" s="15">
        <f>E935*$C$937/100</f>
        <v>0</v>
      </c>
      <c r="F937" s="15"/>
      <c r="G937" s="15">
        <f>G935*$C$937/100</f>
        <v>0</v>
      </c>
      <c r="H937" s="15"/>
      <c r="I937" s="15">
        <f>I935*$C$937/100</f>
        <v>0</v>
      </c>
      <c r="J937" s="15"/>
      <c r="K937" s="15">
        <f>K935*$C$937/100</f>
        <v>0</v>
      </c>
      <c r="L937" s="15"/>
      <c r="M937"/>
      <c r="N937"/>
    </row>
    <row r="938" spans="2:14" ht="9.75" customHeight="1">
      <c r="E938" s="46"/>
      <c r="F938" s="46"/>
      <c r="G938" s="46"/>
      <c r="H938" s="46"/>
      <c r="I938" s="46"/>
      <c r="J938" s="46"/>
      <c r="K938" s="46"/>
      <c r="M938"/>
      <c r="N938"/>
    </row>
    <row r="939" spans="2:14">
      <c r="B939" s="1" t="str">
        <f>B21</f>
        <v>4.  Less:  Jan. 20, 2011 Taxes received**</v>
      </c>
      <c r="E939" s="52"/>
      <c r="F939" s="46"/>
      <c r="G939" s="52"/>
      <c r="H939" s="46"/>
      <c r="I939" s="52"/>
      <c r="J939" s="46"/>
      <c r="K939" s="52"/>
      <c r="M939"/>
      <c r="N939"/>
    </row>
    <row r="940" spans="2:14" ht="9.75" customHeight="1">
      <c r="E940" s="46"/>
      <c r="F940" s="46"/>
      <c r="G940" s="46"/>
      <c r="H940" s="46"/>
      <c r="I940" s="46"/>
      <c r="J940" s="46"/>
      <c r="K940" s="46"/>
      <c r="M940"/>
      <c r="N940"/>
    </row>
    <row r="941" spans="2:14">
      <c r="B941" s="1" t="str">
        <f>B23</f>
        <v>5.  Less:  Mar. 20, 2011  Taxes received**</v>
      </c>
      <c r="E941" s="52"/>
      <c r="F941" s="46"/>
      <c r="G941" s="52"/>
      <c r="H941" s="46"/>
      <c r="I941" s="52"/>
      <c r="J941" s="46"/>
      <c r="K941" s="52"/>
      <c r="M941"/>
      <c r="N941"/>
    </row>
    <row r="942" spans="2:14" ht="9.75" customHeight="1">
      <c r="E942" s="56"/>
      <c r="F942" s="46"/>
      <c r="G942" s="56"/>
      <c r="H942" s="46"/>
      <c r="I942" s="56"/>
      <c r="J942" s="46"/>
      <c r="K942" s="56"/>
      <c r="M942"/>
      <c r="N942"/>
    </row>
    <row r="943" spans="2:14">
      <c r="B943" s="1" t="str">
        <f>B25</f>
        <v>6.  Less:  June 5,  2011 Taxes received**</v>
      </c>
      <c r="E943" s="52"/>
      <c r="F943" s="46"/>
      <c r="G943" s="52"/>
      <c r="H943" s="46"/>
      <c r="I943" s="52"/>
      <c r="J943" s="46"/>
      <c r="K943" s="52"/>
      <c r="M943"/>
      <c r="N943"/>
    </row>
    <row r="944" spans="2:14" ht="9.75" customHeight="1">
      <c r="E944" s="56"/>
      <c r="F944" s="46"/>
      <c r="G944" s="56"/>
      <c r="H944" s="46"/>
      <c r="I944" s="56"/>
      <c r="J944" s="46"/>
      <c r="K944" s="56"/>
      <c r="L944" s="40"/>
      <c r="M944"/>
      <c r="N944"/>
    </row>
    <row r="945" spans="2:14">
      <c r="B945" s="1" t="s">
        <v>286</v>
      </c>
      <c r="E945" s="52"/>
      <c r="F945" s="46"/>
      <c r="G945" s="52"/>
      <c r="H945" s="46"/>
      <c r="I945" s="52"/>
      <c r="J945" s="46"/>
      <c r="K945" s="52"/>
      <c r="M945"/>
      <c r="N945"/>
    </row>
    <row r="946" spans="2:14" ht="7.5" customHeight="1">
      <c r="E946" s="46"/>
      <c r="F946" s="46"/>
      <c r="G946" s="46"/>
      <c r="H946" s="46"/>
      <c r="I946" s="46"/>
      <c r="J946" s="46"/>
      <c r="K946" s="16"/>
      <c r="M946"/>
      <c r="N946"/>
    </row>
    <row r="947" spans="2:14">
      <c r="B947" s="1" t="s">
        <v>165</v>
      </c>
      <c r="E947" s="52"/>
      <c r="F947" s="46"/>
      <c r="G947" s="52"/>
      <c r="H947" s="46"/>
      <c r="I947" s="52"/>
      <c r="J947" s="46"/>
      <c r="K947" s="52"/>
      <c r="M947"/>
      <c r="N947"/>
    </row>
    <row r="948" spans="2:14" ht="12" customHeight="1">
      <c r="B948" s="1" t="s">
        <v>166</v>
      </c>
      <c r="E948" s="54"/>
      <c r="F948" s="46"/>
      <c r="G948" s="54"/>
      <c r="H948" s="46"/>
      <c r="I948" s="54"/>
      <c r="J948" s="46"/>
      <c r="K948" s="54"/>
      <c r="M948"/>
      <c r="N948"/>
    </row>
    <row r="949" spans="2:14">
      <c r="B949" s="1" t="s">
        <v>331</v>
      </c>
      <c r="E949" s="15">
        <f>SUM(E937:E948)</f>
        <v>0</v>
      </c>
      <c r="F949" s="21"/>
      <c r="G949" s="15">
        <f>SUM(G937:G948)</f>
        <v>0</v>
      </c>
      <c r="H949" s="21"/>
      <c r="I949" s="15">
        <f>SUM(I937:I948)</f>
        <v>0</v>
      </c>
      <c r="J949" s="21"/>
      <c r="K949" s="15">
        <f>SUM(K937:K948)</f>
        <v>0</v>
      </c>
      <c r="L949" s="40"/>
      <c r="M949"/>
      <c r="N949"/>
    </row>
    <row r="950" spans="2:14" ht="9.75" customHeight="1">
      <c r="E950" s="16"/>
      <c r="F950" s="16"/>
      <c r="G950" s="16"/>
      <c r="H950" s="16"/>
      <c r="I950" s="16"/>
      <c r="J950" s="16"/>
      <c r="K950" s="16"/>
      <c r="L950" s="40"/>
      <c r="M950"/>
      <c r="N950"/>
    </row>
    <row r="951" spans="2:14">
      <c r="B951" s="1" t="str">
        <f>B33</f>
        <v>11. 2010 taxes receivable (taxes in process</v>
      </c>
      <c r="E951" s="16"/>
      <c r="F951" s="16"/>
      <c r="G951" s="16"/>
      <c r="H951" s="16"/>
      <c r="I951" s="16"/>
      <c r="J951" s="16"/>
      <c r="K951" s="16"/>
      <c r="L951" s="40"/>
      <c r="M951"/>
      <c r="N951"/>
    </row>
    <row r="952" spans="2:14">
      <c r="B952" s="1" t="str">
        <f>B34</f>
        <v xml:space="preserve">     of collection 6/30/2011)(Line 2 less Line 10)</v>
      </c>
      <c r="E952" s="15">
        <f>IF(E949&lt;=0,0,E935-E949)</f>
        <v>0</v>
      </c>
      <c r="F952" s="21"/>
      <c r="G952" s="15">
        <f>IF(G949&lt;=0,0,G935-G949)</f>
        <v>0</v>
      </c>
      <c r="H952" s="21"/>
      <c r="I952" s="15">
        <f>IF(I949&lt;=0,0,I935-I949)</f>
        <v>0</v>
      </c>
      <c r="J952" s="21"/>
      <c r="K952" s="15">
        <f>IF(K949&lt;=0,0,K935-K949)</f>
        <v>0</v>
      </c>
      <c r="L952" s="15"/>
      <c r="M952"/>
      <c r="N952"/>
    </row>
    <row r="953" spans="2:14" ht="9.75" customHeight="1">
      <c r="E953" s="16"/>
      <c r="F953" s="16"/>
      <c r="G953" s="16"/>
      <c r="H953" s="16"/>
      <c r="I953" s="16"/>
      <c r="J953" s="16"/>
      <c r="K953" s="16"/>
      <c r="L953" s="40"/>
      <c r="M953"/>
      <c r="N953"/>
    </row>
    <row r="954" spans="2:14">
      <c r="B954" s="1" t="s">
        <v>236</v>
      </c>
      <c r="E954" s="16"/>
      <c r="F954" s="16"/>
      <c r="G954" s="16"/>
      <c r="H954" s="16"/>
      <c r="I954" s="16"/>
      <c r="J954" s="16"/>
      <c r="K954" s="16"/>
      <c r="L954" s="40"/>
      <c r="M954"/>
      <c r="N954"/>
    </row>
    <row r="955" spans="2:14">
      <c r="B955" s="1" t="s">
        <v>289</v>
      </c>
      <c r="E955" s="16"/>
      <c r="F955" s="16"/>
      <c r="G955" s="16"/>
      <c r="H955" s="16"/>
      <c r="I955" s="16"/>
      <c r="J955" s="16"/>
      <c r="K955" s="16"/>
      <c r="L955" s="40"/>
      <c r="M955"/>
      <c r="N955"/>
    </row>
    <row r="956" spans="2:14">
      <c r="B956" s="1" t="str">
        <f>B38</f>
        <v xml:space="preserve">     (7-1-2011 to 12-31-2012) (Line 3 x 75%)</v>
      </c>
      <c r="E956" s="15">
        <f>SUM(E937*0.75)</f>
        <v>0</v>
      </c>
      <c r="F956" s="21"/>
      <c r="G956" s="15">
        <f>SUM(G937*0.75)</f>
        <v>0</v>
      </c>
      <c r="H956" s="21"/>
      <c r="I956" s="15">
        <f>SUM(I937*0.75)</f>
        <v>0</v>
      </c>
      <c r="J956" s="21"/>
      <c r="K956" s="15">
        <f>SUM(K937*0.75)</f>
        <v>0</v>
      </c>
      <c r="L956" s="40"/>
      <c r="M956"/>
      <c r="N956"/>
    </row>
    <row r="957" spans="2:14" ht="6.75" customHeight="1">
      <c r="E957" s="40"/>
      <c r="F957" s="40"/>
      <c r="G957" s="40"/>
      <c r="H957" s="40"/>
      <c r="I957" s="40"/>
      <c r="J957" s="40"/>
      <c r="K957" s="40"/>
      <c r="L957" s="40"/>
      <c r="M957"/>
      <c r="N957"/>
    </row>
    <row r="958" spans="2:14" ht="15">
      <c r="B958" s="41" t="str">
        <f>B40</f>
        <v>Tax Collection Ratio (Jan, Mar, June)</v>
      </c>
      <c r="C958" s="17"/>
      <c r="D958" s="17"/>
      <c r="E958" s="42">
        <f>IF(E935&lt;&gt;0,(E939+E941+E943+E945+E947)/E935*100,0)</f>
        <v>0</v>
      </c>
      <c r="F958" s="26" t="s">
        <v>290</v>
      </c>
      <c r="G958" s="42">
        <f>IF(G935&lt;&gt;0,(G939+G941+G943+G945+G947)/G935*100,0)</f>
        <v>0</v>
      </c>
      <c r="H958" s="26" t="s">
        <v>290</v>
      </c>
      <c r="I958" s="42">
        <f>IF(I935&lt;&gt;0,(I939+I941+I943+I945+I947)/I935*100,0)</f>
        <v>0</v>
      </c>
      <c r="J958" s="26" t="s">
        <v>290</v>
      </c>
      <c r="K958" s="42">
        <f>IF(K935&lt;&gt;0,(K939+K941+K943+K945+K947)/K935*100,0)</f>
        <v>0</v>
      </c>
      <c r="L958" s="26" t="s">
        <v>290</v>
      </c>
      <c r="M958"/>
      <c r="N958"/>
    </row>
    <row r="959" spans="2:14" ht="3" customHeight="1">
      <c r="B959" s="37"/>
      <c r="C959" s="37"/>
      <c r="D959" s="37"/>
      <c r="E959" s="37"/>
      <c r="F959" s="37"/>
      <c r="G959" s="37"/>
      <c r="H959" s="37"/>
      <c r="I959" s="37"/>
      <c r="J959" s="37"/>
      <c r="K959" s="37"/>
      <c r="L959" s="34"/>
      <c r="M959" s="34"/>
    </row>
    <row r="960" spans="2:14">
      <c r="B960" s="1" t="str">
        <f>B98</f>
        <v>*Amounts are available from the County Treasurer.       **These Jan.-June, 2011 amounts are available from the County Treasurer.  (Does not</v>
      </c>
    </row>
    <row r="961" spans="2:13">
      <c r="B961" s="1" t="str">
        <f>B99</f>
        <v xml:space="preserve"> include MVPT.  Should correspond to school records.)</v>
      </c>
    </row>
    <row r="962" spans="2:13" ht="15">
      <c r="B962" s="1" t="s">
        <v>148</v>
      </c>
      <c r="M962" s="2" t="s">
        <v>337</v>
      </c>
    </row>
    <row r="963" spans="2:13">
      <c r="B963" s="3">
        <f>B2</f>
        <v>40664</v>
      </c>
      <c r="C963" s="4"/>
      <c r="D963" s="4"/>
      <c r="G963" s="6" t="s">
        <v>150</v>
      </c>
      <c r="H963" s="6"/>
      <c r="I963" s="8" t="str">
        <f>I879</f>
        <v>395 - LaCrosse</v>
      </c>
      <c r="J963" s="8"/>
      <c r="K963" s="8"/>
      <c r="L963" s="6" t="s">
        <v>151</v>
      </c>
      <c r="M963" s="9">
        <f>M879</f>
        <v>395</v>
      </c>
    </row>
    <row r="964" spans="2:13">
      <c r="K964" s="6" t="s">
        <v>153</v>
      </c>
      <c r="M964" s="8">
        <f>M880</f>
        <v>0</v>
      </c>
    </row>
    <row r="965" spans="2:13" ht="7.5" customHeight="1">
      <c r="E965" s="12"/>
      <c r="F965" s="12"/>
      <c r="G965" s="12"/>
      <c r="H965" s="12"/>
      <c r="I965" s="12"/>
      <c r="J965" s="12"/>
      <c r="K965" s="13"/>
      <c r="L965" s="13"/>
      <c r="M965" s="12"/>
    </row>
    <row r="966" spans="2:13">
      <c r="B966" s="12" t="str">
        <f>B6</f>
        <v>2011-2012</v>
      </c>
      <c r="C966" s="12"/>
      <c r="D966" s="12"/>
      <c r="E966" s="12"/>
      <c r="F966" s="12"/>
      <c r="G966" s="12"/>
      <c r="H966" s="12"/>
      <c r="I966" s="12"/>
      <c r="J966" s="12"/>
      <c r="K966" s="12"/>
      <c r="L966" s="12"/>
      <c r="M966" s="12"/>
    </row>
    <row r="967" spans="2:13">
      <c r="B967" s="12" t="s">
        <v>155</v>
      </c>
      <c r="C967" s="12"/>
      <c r="D967" s="12"/>
      <c r="E967" s="12"/>
      <c r="F967" s="12"/>
      <c r="G967" s="12"/>
      <c r="H967" s="12"/>
      <c r="I967" s="12"/>
      <c r="J967" s="12"/>
      <c r="K967" s="12"/>
      <c r="L967" s="12"/>
      <c r="M967" s="12"/>
    </row>
    <row r="968" spans="2:13">
      <c r="B968" s="12" t="s">
        <v>156</v>
      </c>
      <c r="C968" s="12"/>
      <c r="D968" s="12"/>
      <c r="E968" s="12"/>
      <c r="F968" s="12"/>
      <c r="G968" s="12"/>
      <c r="H968" s="12"/>
      <c r="I968" s="12"/>
      <c r="J968" s="12"/>
      <c r="K968" s="12"/>
      <c r="L968" s="12"/>
      <c r="M968" s="12"/>
    </row>
    <row r="969" spans="2:13" ht="15">
      <c r="B969" s="14" t="s">
        <v>157</v>
      </c>
      <c r="C969" s="14"/>
      <c r="D969" s="14"/>
      <c r="E969" s="12"/>
      <c r="F969" s="12"/>
      <c r="G969" s="12"/>
      <c r="H969" s="12"/>
      <c r="I969" s="12"/>
      <c r="J969" s="12"/>
      <c r="K969" s="12"/>
      <c r="L969" s="12"/>
      <c r="M969" s="12"/>
    </row>
    <row r="970" spans="2:13" ht="9" customHeight="1">
      <c r="E970" s="10"/>
      <c r="F970" s="10"/>
      <c r="G970" s="10"/>
      <c r="H970" s="10"/>
      <c r="I970" s="10"/>
      <c r="J970" s="10"/>
      <c r="K970" s="10"/>
      <c r="L970" s="10"/>
      <c r="M970" s="10"/>
    </row>
    <row r="971" spans="2:13" ht="15">
      <c r="E971" s="10" t="s">
        <v>338</v>
      </c>
      <c r="F971" s="10"/>
      <c r="G971" s="10" t="s">
        <v>180</v>
      </c>
      <c r="H971" s="10"/>
      <c r="I971" s="10" t="s">
        <v>339</v>
      </c>
      <c r="J971" s="10"/>
      <c r="K971" s="10" t="s">
        <v>340</v>
      </c>
      <c r="L971" s="10"/>
      <c r="M971" s="10" t="s">
        <v>341</v>
      </c>
    </row>
    <row r="972" spans="2:13" ht="15">
      <c r="E972" s="10" t="s">
        <v>342</v>
      </c>
      <c r="F972" s="10"/>
      <c r="G972" s="10" t="s">
        <v>343</v>
      </c>
      <c r="H972" s="10"/>
      <c r="I972" s="10" t="s">
        <v>344</v>
      </c>
      <c r="J972" s="10"/>
      <c r="K972" s="10" t="s">
        <v>345</v>
      </c>
      <c r="L972" s="10"/>
      <c r="M972" s="10" t="s">
        <v>346</v>
      </c>
    </row>
    <row r="974" spans="2:13">
      <c r="B974" s="1" t="str">
        <f>B15</f>
        <v>1.  County Treasurer Balance 6/30/2011 *</v>
      </c>
      <c r="E974" s="52"/>
      <c r="F974" s="46"/>
      <c r="G974" s="52"/>
      <c r="H974" s="46"/>
      <c r="I974" s="52"/>
      <c r="J974" s="46"/>
      <c r="K974" s="52"/>
      <c r="M974" s="52"/>
    </row>
    <row r="975" spans="2:13" ht="7.5" customHeight="1">
      <c r="B975" s="17"/>
      <c r="C975" s="17"/>
      <c r="D975" s="17"/>
      <c r="E975" s="53"/>
      <c r="F975" s="53"/>
      <c r="G975" s="53"/>
      <c r="H975" s="53"/>
      <c r="I975" s="53"/>
      <c r="J975" s="53"/>
      <c r="K975" s="53"/>
      <c r="M975" s="53"/>
    </row>
    <row r="976" spans="2:13">
      <c r="B976" s="1" t="str">
        <f>B17</f>
        <v>2.  2010 Actual Taxes Levied*</v>
      </c>
      <c r="E976" s="52"/>
      <c r="F976" s="46"/>
      <c r="G976" s="52"/>
      <c r="H976" s="46"/>
      <c r="I976" s="52"/>
      <c r="J976" s="46"/>
      <c r="K976" s="52"/>
      <c r="M976" s="52"/>
    </row>
    <row r="977" spans="2:13" ht="7.5" customHeight="1">
      <c r="E977" s="46"/>
      <c r="F977" s="46"/>
      <c r="G977" s="46"/>
      <c r="H977" s="46"/>
      <c r="I977" s="46"/>
      <c r="J977" s="46"/>
      <c r="K977" s="46"/>
      <c r="M977" s="46"/>
    </row>
    <row r="978" spans="2:13">
      <c r="B978" s="1" t="s">
        <v>330</v>
      </c>
      <c r="C978" s="33">
        <f>C896</f>
        <v>0</v>
      </c>
      <c r="D978" s="40"/>
      <c r="E978" s="15">
        <f>E976*$C$978/100</f>
        <v>0</v>
      </c>
      <c r="F978" s="15"/>
      <c r="G978" s="15">
        <f>G976*$C$978/100</f>
        <v>0</v>
      </c>
      <c r="H978" s="15"/>
      <c r="I978" s="15">
        <f>I976*$C$978/100</f>
        <v>0</v>
      </c>
      <c r="J978" s="15"/>
      <c r="K978" s="15">
        <f>K976*$C$978/100</f>
        <v>0</v>
      </c>
      <c r="L978" s="15"/>
      <c r="M978" s="15">
        <f>M976*$C$978/100</f>
        <v>0</v>
      </c>
    </row>
    <row r="979" spans="2:13" ht="9.75" customHeight="1">
      <c r="E979" s="46"/>
      <c r="F979" s="46"/>
      <c r="G979" s="46"/>
      <c r="H979" s="46"/>
      <c r="I979" s="46"/>
      <c r="J979" s="46"/>
      <c r="K979" s="46"/>
      <c r="M979" s="46"/>
    </row>
    <row r="980" spans="2:13">
      <c r="B980" s="1" t="str">
        <f>B21</f>
        <v>4.  Less:  Jan. 20, 2011 Taxes received**</v>
      </c>
      <c r="E980" s="52"/>
      <c r="F980" s="46"/>
      <c r="G980" s="52"/>
      <c r="H980" s="46"/>
      <c r="I980" s="52"/>
      <c r="J980" s="46"/>
      <c r="K980" s="52"/>
      <c r="M980" s="52"/>
    </row>
    <row r="981" spans="2:13" ht="9.75" customHeight="1">
      <c r="E981" s="46"/>
      <c r="F981" s="46"/>
      <c r="G981" s="46"/>
      <c r="H981" s="46"/>
      <c r="I981" s="46"/>
      <c r="J981" s="46"/>
      <c r="K981" s="46"/>
      <c r="M981" s="46"/>
    </row>
    <row r="982" spans="2:13">
      <c r="B982" s="1" t="str">
        <f>B23</f>
        <v>5.  Less:  Mar. 20, 2011  Taxes received**</v>
      </c>
      <c r="E982" s="52"/>
      <c r="F982" s="46"/>
      <c r="G982" s="52"/>
      <c r="H982" s="46"/>
      <c r="I982" s="52"/>
      <c r="J982" s="46"/>
      <c r="K982" s="52"/>
      <c r="M982" s="52"/>
    </row>
    <row r="983" spans="2:13" ht="9.75" customHeight="1">
      <c r="E983" s="56"/>
      <c r="F983" s="46"/>
      <c r="G983" s="56"/>
      <c r="H983" s="46"/>
      <c r="I983" s="56"/>
      <c r="J983" s="46"/>
      <c r="K983" s="56"/>
      <c r="M983" s="56"/>
    </row>
    <row r="984" spans="2:13">
      <c r="B984" s="1" t="str">
        <f>B25</f>
        <v>6.  Less:  June 5,  2011 Taxes received**</v>
      </c>
      <c r="E984" s="52"/>
      <c r="F984" s="46"/>
      <c r="G984" s="52"/>
      <c r="H984" s="46"/>
      <c r="I984" s="52"/>
      <c r="J984" s="46"/>
      <c r="K984" s="52"/>
      <c r="M984" s="52"/>
    </row>
    <row r="985" spans="2:13" ht="9.75" customHeight="1">
      <c r="E985" s="56"/>
      <c r="F985" s="46"/>
      <c r="G985" s="56"/>
      <c r="H985" s="46"/>
      <c r="I985" s="56"/>
      <c r="J985" s="46"/>
      <c r="K985" s="56"/>
      <c r="M985" s="56"/>
    </row>
    <row r="986" spans="2:13">
      <c r="B986" s="1" t="s">
        <v>286</v>
      </c>
      <c r="E986" s="52"/>
      <c r="F986" s="46"/>
      <c r="G986" s="52"/>
      <c r="H986" s="46"/>
      <c r="I986" s="52"/>
      <c r="J986" s="46"/>
      <c r="K986" s="52"/>
      <c r="M986" s="52"/>
    </row>
    <row r="987" spans="2:13" ht="9.75" customHeight="1">
      <c r="E987" s="16"/>
      <c r="F987" s="46"/>
      <c r="G987" s="46"/>
      <c r="H987" s="46"/>
      <c r="I987" s="46"/>
      <c r="J987" s="46"/>
      <c r="K987" s="46"/>
      <c r="M987" s="46"/>
    </row>
    <row r="988" spans="2:13">
      <c r="B988" s="1" t="s">
        <v>165</v>
      </c>
      <c r="E988" s="52"/>
      <c r="F988" s="46"/>
      <c r="G988" s="52"/>
      <c r="H988" s="46"/>
      <c r="I988" s="52"/>
      <c r="J988" s="46"/>
      <c r="K988" s="52"/>
      <c r="M988" s="52"/>
    </row>
    <row r="989" spans="2:13" ht="12.75" customHeight="1">
      <c r="B989" s="1" t="s">
        <v>166</v>
      </c>
      <c r="E989" s="54"/>
      <c r="F989" s="46"/>
      <c r="G989" s="54"/>
      <c r="H989" s="46"/>
      <c r="I989" s="54"/>
      <c r="J989" s="46"/>
      <c r="K989" s="54"/>
      <c r="M989" s="54"/>
    </row>
    <row r="990" spans="2:13">
      <c r="B990" s="1" t="s">
        <v>331</v>
      </c>
      <c r="E990" s="15">
        <f>SUM(E978:E989)</f>
        <v>0</v>
      </c>
      <c r="F990" s="21"/>
      <c r="G990" s="15">
        <f>SUM(G978:G989)</f>
        <v>0</v>
      </c>
      <c r="H990" s="21"/>
      <c r="I990" s="15">
        <f>SUM(I978:I989)</f>
        <v>0</v>
      </c>
      <c r="J990" s="21"/>
      <c r="K990" s="15">
        <f>SUM(K978:K989)</f>
        <v>0</v>
      </c>
      <c r="L990" s="40"/>
      <c r="M990" s="15">
        <f>SUM(M978:M989)</f>
        <v>0</v>
      </c>
    </row>
    <row r="991" spans="2:13" ht="5.0999999999999996" customHeight="1">
      <c r="E991" s="16"/>
      <c r="F991" s="16"/>
      <c r="G991" s="16"/>
      <c r="H991" s="16"/>
      <c r="I991" s="16"/>
      <c r="J991" s="16"/>
      <c r="K991" s="16"/>
      <c r="L991" s="40"/>
      <c r="M991" s="16"/>
    </row>
    <row r="992" spans="2:13">
      <c r="B992" s="1" t="str">
        <f>B33</f>
        <v>11. 2010 taxes receivable (taxes in process</v>
      </c>
      <c r="E992" s="16"/>
      <c r="F992" s="16"/>
      <c r="G992" s="16"/>
      <c r="H992" s="16"/>
      <c r="I992" s="16"/>
      <c r="J992" s="16"/>
      <c r="K992" s="16"/>
      <c r="L992" s="40"/>
      <c r="M992" s="16"/>
    </row>
    <row r="993" spans="2:14">
      <c r="B993" s="1" t="str">
        <f>B34</f>
        <v xml:space="preserve">     of collection 6/30/2011)(Line 2 less Line 10)</v>
      </c>
      <c r="E993" s="15">
        <f>IF(E990&lt;=0,0,E976-E990)</f>
        <v>0</v>
      </c>
      <c r="F993" s="21"/>
      <c r="G993" s="15">
        <f>IF(G990&lt;=0,0,G976-G990)</f>
        <v>0</v>
      </c>
      <c r="H993" s="21"/>
      <c r="I993" s="15">
        <f>IF(I990&lt;=0,0,I976-I990)</f>
        <v>0</v>
      </c>
      <c r="J993" s="21"/>
      <c r="K993" s="15">
        <f>IF(K990&lt;=0,0,K976-K990)</f>
        <v>0</v>
      </c>
      <c r="L993" s="21"/>
      <c r="M993" s="15">
        <f>IF(M990&lt;=0,0,M976-M990)</f>
        <v>0</v>
      </c>
    </row>
    <row r="994" spans="2:14" ht="5.0999999999999996" customHeight="1">
      <c r="E994" s="16"/>
      <c r="F994" s="16"/>
      <c r="G994" s="16"/>
      <c r="H994" s="16"/>
      <c r="I994" s="16"/>
      <c r="J994" s="16"/>
      <c r="K994" s="16"/>
      <c r="L994" s="40"/>
      <c r="M994" s="16"/>
    </row>
    <row r="995" spans="2:14">
      <c r="B995" s="1" t="s">
        <v>236</v>
      </c>
      <c r="E995" s="16"/>
      <c r="F995" s="16"/>
      <c r="G995" s="16"/>
      <c r="H995" s="16"/>
      <c r="I995" s="16"/>
      <c r="J995" s="16"/>
      <c r="K995" s="16"/>
      <c r="L995" s="40"/>
      <c r="M995" s="16"/>
    </row>
    <row r="996" spans="2:14">
      <c r="B996" s="1" t="s">
        <v>289</v>
      </c>
      <c r="E996" s="16"/>
      <c r="F996" s="16"/>
      <c r="G996" s="16"/>
      <c r="H996" s="16"/>
      <c r="I996" s="16"/>
      <c r="J996" s="16"/>
      <c r="K996" s="16"/>
      <c r="L996" s="40"/>
      <c r="M996" s="16"/>
    </row>
    <row r="997" spans="2:14">
      <c r="B997" s="1" t="str">
        <f>B38</f>
        <v xml:space="preserve">     (7-1-2011 to 12-31-2012) (Line 3 x 75%)</v>
      </c>
      <c r="E997" s="15">
        <f>SUM(E978*0.75)</f>
        <v>0</v>
      </c>
      <c r="F997" s="21"/>
      <c r="G997" s="15">
        <f>SUM(G978*0.75)</f>
        <v>0</v>
      </c>
      <c r="H997" s="21"/>
      <c r="I997" s="15">
        <f>SUM(I978*0.75)</f>
        <v>0</v>
      </c>
      <c r="J997" s="21"/>
      <c r="K997" s="15">
        <f>SUM(K978*0.75)</f>
        <v>0</v>
      </c>
      <c r="L997" s="40"/>
      <c r="M997" s="15">
        <f>SUM(M978*0.75)</f>
        <v>0</v>
      </c>
    </row>
    <row r="998" spans="2:14" ht="5.0999999999999996" customHeight="1">
      <c r="E998" s="40"/>
      <c r="F998" s="40"/>
      <c r="G998" s="40"/>
      <c r="H998" s="40"/>
      <c r="I998" s="40"/>
      <c r="J998" s="40"/>
      <c r="K998" s="40"/>
      <c r="L998" s="40"/>
      <c r="M998" s="40"/>
    </row>
    <row r="999" spans="2:14" ht="13.5" customHeight="1">
      <c r="B999" s="35" t="str">
        <f>B40</f>
        <v>Tax Collection Ratio (Jan, Mar, June)</v>
      </c>
      <c r="E999" s="51">
        <f>IF(E976&lt;&gt;0,(E980+E982+E984+E986+E988)/E976*100,0)</f>
        <v>0</v>
      </c>
      <c r="F999" s="26" t="s">
        <v>290</v>
      </c>
      <c r="G999" s="51">
        <f>IF(G976&lt;&gt;0,(G980+G982+G984+G986+G988)/G976*100,0)</f>
        <v>0</v>
      </c>
      <c r="H999" s="26" t="s">
        <v>290</v>
      </c>
      <c r="I999" s="51">
        <f>IF(I976&lt;&gt;0,(I980+I982+I984+I986+I988)/I976*100,0)</f>
        <v>0</v>
      </c>
      <c r="J999" s="26" t="s">
        <v>290</v>
      </c>
      <c r="K999" s="51">
        <f>IF(K976&lt;&gt;0,(K980+K982+K984+K986+K988)/K976*100,0)</f>
        <v>0</v>
      </c>
      <c r="L999" s="26" t="s">
        <v>290</v>
      </c>
      <c r="M999" s="51">
        <f>IF(M976&lt;&gt;0,(M980+M982+M984+M986+M988)/M976*100,0)</f>
        <v>0</v>
      </c>
      <c r="N999" s="24" t="s">
        <v>290</v>
      </c>
    </row>
    <row r="1000" spans="2:14" ht="5.0999999999999996" customHeight="1"/>
    <row r="1001" spans="2:14">
      <c r="B1001" s="1" t="str">
        <f>B98</f>
        <v>*Amounts are available from the County Treasurer.       **These Jan.-June, 2011 amounts are available from the County Treasurer.  (Does not</v>
      </c>
    </row>
    <row r="1002" spans="2:14">
      <c r="B1002" s="1" t="str">
        <f>B99</f>
        <v xml:space="preserve"> include MVPT.  Should correspond to school records.)</v>
      </c>
    </row>
    <row r="1003" spans="2:14" ht="15">
      <c r="B1003" s="1" t="s">
        <v>148</v>
      </c>
      <c r="M1003" s="2" t="s">
        <v>347</v>
      </c>
    </row>
    <row r="1004" spans="2:14">
      <c r="B1004" s="3">
        <f>B2</f>
        <v>40664</v>
      </c>
      <c r="C1004" s="4"/>
      <c r="D1004" s="4"/>
      <c r="G1004" s="6" t="s">
        <v>150</v>
      </c>
      <c r="H1004" s="6"/>
      <c r="I1004" s="8" t="str">
        <f>I879</f>
        <v>395 - LaCrosse</v>
      </c>
      <c r="J1004" s="8"/>
      <c r="K1004" s="8"/>
      <c r="L1004" s="6" t="s">
        <v>151</v>
      </c>
      <c r="M1004" s="9">
        <f>M879</f>
        <v>395</v>
      </c>
    </row>
    <row r="1005" spans="2:14">
      <c r="K1005" s="6" t="s">
        <v>153</v>
      </c>
      <c r="M1005" s="8">
        <f>M880</f>
        <v>0</v>
      </c>
    </row>
    <row r="1006" spans="2:14" ht="8.25" customHeight="1">
      <c r="E1006" s="12"/>
      <c r="F1006" s="12"/>
      <c r="G1006" s="12"/>
      <c r="H1006" s="12"/>
      <c r="I1006" s="12"/>
      <c r="J1006" s="12"/>
      <c r="K1006" s="13"/>
      <c r="L1006" s="13"/>
      <c r="M1006" s="12"/>
    </row>
    <row r="1007" spans="2:14">
      <c r="B1007" s="12" t="str">
        <f>B6</f>
        <v>2011-2012</v>
      </c>
      <c r="C1007" s="12"/>
      <c r="D1007" s="12"/>
      <c r="E1007" s="12"/>
      <c r="F1007" s="12"/>
      <c r="G1007" s="12"/>
      <c r="H1007" s="12"/>
      <c r="I1007" s="12"/>
      <c r="J1007" s="12"/>
      <c r="K1007" s="12"/>
      <c r="L1007" s="12"/>
      <c r="M1007" s="12"/>
    </row>
    <row r="1008" spans="2:14">
      <c r="B1008" s="12" t="s">
        <v>155</v>
      </c>
      <c r="C1008" s="12"/>
      <c r="D1008" s="12"/>
      <c r="E1008" s="12"/>
      <c r="F1008" s="12"/>
      <c r="G1008" s="12"/>
      <c r="H1008" s="12"/>
      <c r="I1008" s="12"/>
      <c r="J1008" s="12"/>
      <c r="K1008" s="12"/>
      <c r="L1008" s="12"/>
      <c r="M1008" s="12"/>
    </row>
    <row r="1009" spans="2:13">
      <c r="B1009" s="12" t="s">
        <v>156</v>
      </c>
      <c r="C1009" s="12"/>
      <c r="D1009" s="12"/>
      <c r="E1009" s="12"/>
      <c r="F1009" s="12"/>
      <c r="G1009" s="12"/>
      <c r="H1009" s="12"/>
      <c r="I1009" s="12"/>
      <c r="J1009" s="12"/>
      <c r="K1009" s="12"/>
      <c r="L1009" s="12"/>
      <c r="M1009" s="12"/>
    </row>
    <row r="1010" spans="2:13" ht="15">
      <c r="B1010" s="14" t="s">
        <v>157</v>
      </c>
      <c r="C1010" s="14"/>
      <c r="D1010" s="14"/>
      <c r="E1010" s="12"/>
      <c r="F1010" s="12"/>
      <c r="G1010" s="12"/>
      <c r="H1010" s="12"/>
      <c r="I1010" s="12"/>
      <c r="J1010" s="12"/>
      <c r="K1010" s="12"/>
      <c r="L1010" s="12"/>
      <c r="M1010" s="12"/>
    </row>
    <row r="1011" spans="2:13" ht="15">
      <c r="E1011" s="10"/>
      <c r="F1011" s="10"/>
      <c r="G1011" s="10"/>
      <c r="H1011" s="10"/>
      <c r="I1011" s="10"/>
      <c r="J1011" s="10"/>
      <c r="K1011" s="10"/>
      <c r="L1011" s="10"/>
      <c r="M1011" s="10"/>
    </row>
    <row r="1012" spans="2:13" ht="15">
      <c r="E1012" s="465"/>
      <c r="F1012" s="10"/>
      <c r="G1012" s="10" t="str">
        <f>G150</f>
        <v>Rec. Comm</v>
      </c>
      <c r="H1012" s="10"/>
      <c r="I1012" s="10" t="s">
        <v>348</v>
      </c>
      <c r="J1012" s="10"/>
      <c r="K1012" s="35" t="s">
        <v>349</v>
      </c>
      <c r="L1012" s="10"/>
      <c r="M1012" s="40"/>
    </row>
    <row r="1013" spans="2:13" ht="15">
      <c r="E1013" s="466" t="s">
        <v>188</v>
      </c>
      <c r="F1013" s="10"/>
      <c r="G1013" s="10" t="str">
        <f>G151</f>
        <v>Emp Benef</v>
      </c>
      <c r="H1013" s="10"/>
      <c r="I1013" s="10" t="s">
        <v>350</v>
      </c>
      <c r="J1013" s="10"/>
      <c r="K1013" s="10" t="s">
        <v>351</v>
      </c>
      <c r="L1013" s="10"/>
      <c r="M1013" s="466" t="s">
        <v>439</v>
      </c>
    </row>
    <row r="1014" spans="2:13" ht="15">
      <c r="E1014" s="466" t="s">
        <v>89</v>
      </c>
      <c r="G1014" s="10" t="str">
        <f>G152</f>
        <v>&amp; Spec Liab</v>
      </c>
      <c r="I1014" s="10" t="s">
        <v>352</v>
      </c>
      <c r="K1014" s="10" t="s">
        <v>353</v>
      </c>
      <c r="M1014" s="466" t="s">
        <v>440</v>
      </c>
    </row>
    <row r="1015" spans="2:13" ht="7.5" customHeight="1">
      <c r="G1015" s="35"/>
    </row>
    <row r="1016" spans="2:13">
      <c r="B1016" s="1" t="str">
        <f>B15</f>
        <v>1.  County Treasurer Balance 6/30/2011 *</v>
      </c>
      <c r="E1016" s="488"/>
      <c r="F1016" s="46"/>
      <c r="G1016" s="52"/>
      <c r="H1016" s="46"/>
      <c r="I1016" s="52"/>
      <c r="J1016" s="46"/>
      <c r="K1016" s="52"/>
      <c r="M1016" s="488"/>
    </row>
    <row r="1017" spans="2:13" ht="8.25" customHeight="1">
      <c r="B1017" s="17"/>
      <c r="C1017" s="17"/>
      <c r="D1017" s="17"/>
      <c r="E1017" s="53"/>
      <c r="F1017" s="53"/>
      <c r="G1017" s="53"/>
      <c r="H1017" s="53"/>
      <c r="I1017" s="53"/>
      <c r="J1017" s="53"/>
      <c r="K1017" s="53"/>
      <c r="M1017" s="53"/>
    </row>
    <row r="1018" spans="2:13">
      <c r="B1018" s="1" t="str">
        <f>B17</f>
        <v>2.  2010 Actual Taxes Levied*</v>
      </c>
      <c r="E1018" s="488"/>
      <c r="F1018" s="46"/>
      <c r="G1018" s="52"/>
      <c r="H1018" s="46"/>
      <c r="I1018" s="52"/>
      <c r="J1018" s="46"/>
      <c r="K1018" s="52"/>
      <c r="M1018" s="488"/>
    </row>
    <row r="1019" spans="2:13" ht="9.75" customHeight="1">
      <c r="E1019" s="46"/>
      <c r="F1019" s="46"/>
      <c r="G1019" s="46"/>
      <c r="H1019" s="46"/>
      <c r="I1019" s="46"/>
      <c r="J1019" s="46"/>
      <c r="K1019" s="46"/>
      <c r="M1019" s="46"/>
    </row>
    <row r="1020" spans="2:13">
      <c r="B1020" s="1" t="s">
        <v>330</v>
      </c>
      <c r="C1020" s="33">
        <f>C896</f>
        <v>0</v>
      </c>
      <c r="D1020" s="40"/>
      <c r="E1020" s="469">
        <f>E1018*$C$1020/100</f>
        <v>0</v>
      </c>
      <c r="F1020" s="15"/>
      <c r="G1020" s="15">
        <f>G1018*$C$1020/100</f>
        <v>0</v>
      </c>
      <c r="H1020" s="15"/>
      <c r="I1020" s="15">
        <f>I1018*$C$1020/100</f>
        <v>0</v>
      </c>
      <c r="J1020" s="15"/>
      <c r="K1020" s="15">
        <f>K1018*$C$1020/100</f>
        <v>0</v>
      </c>
      <c r="L1020" s="15"/>
      <c r="M1020" s="15">
        <f>M1018*$C$1020/100</f>
        <v>0</v>
      </c>
    </row>
    <row r="1021" spans="2:13" ht="9.75" customHeight="1">
      <c r="E1021" s="46"/>
      <c r="F1021" s="46"/>
      <c r="G1021" s="46"/>
      <c r="H1021" s="46"/>
      <c r="I1021" s="46"/>
      <c r="J1021" s="46"/>
      <c r="K1021" s="46"/>
      <c r="M1021" s="46"/>
    </row>
    <row r="1022" spans="2:13">
      <c r="B1022" s="1" t="str">
        <f>B21</f>
        <v>4.  Less:  Jan. 20, 2011 Taxes received**</v>
      </c>
      <c r="E1022" s="488"/>
      <c r="F1022" s="46"/>
      <c r="G1022" s="52"/>
      <c r="H1022" s="46"/>
      <c r="I1022" s="52"/>
      <c r="J1022" s="46"/>
      <c r="K1022" s="52"/>
      <c r="M1022" s="488"/>
    </row>
    <row r="1023" spans="2:13" ht="9.75" customHeight="1">
      <c r="E1023" s="46"/>
      <c r="F1023" s="46"/>
      <c r="G1023" s="46"/>
      <c r="H1023" s="46"/>
      <c r="I1023" s="46"/>
      <c r="J1023" s="46"/>
      <c r="K1023" s="46"/>
      <c r="M1023" s="46"/>
    </row>
    <row r="1024" spans="2:13">
      <c r="B1024" s="1" t="str">
        <f>B23</f>
        <v>5.  Less:  Mar. 20, 2011  Taxes received**</v>
      </c>
      <c r="E1024" s="488"/>
      <c r="F1024" s="46"/>
      <c r="G1024" s="52"/>
      <c r="H1024" s="46"/>
      <c r="I1024" s="52"/>
      <c r="J1024" s="46"/>
      <c r="K1024" s="52"/>
      <c r="M1024" s="488"/>
    </row>
    <row r="1025" spans="2:14" ht="9.75" customHeight="1">
      <c r="E1025" s="56"/>
      <c r="F1025" s="46"/>
      <c r="G1025" s="56"/>
      <c r="H1025" s="46"/>
      <c r="I1025" s="56"/>
      <c r="J1025" s="46"/>
      <c r="K1025" s="56"/>
      <c r="M1025" s="56"/>
    </row>
    <row r="1026" spans="2:14">
      <c r="B1026" s="1" t="str">
        <f>B25</f>
        <v>6.  Less:  June 5,  2011 Taxes received**</v>
      </c>
      <c r="E1026" s="488"/>
      <c r="F1026" s="46"/>
      <c r="G1026" s="52"/>
      <c r="H1026" s="46"/>
      <c r="I1026" s="52"/>
      <c r="J1026" s="46"/>
      <c r="K1026" s="52"/>
      <c r="M1026" s="488"/>
    </row>
    <row r="1027" spans="2:14" ht="9.75" customHeight="1">
      <c r="E1027" s="56"/>
      <c r="F1027" s="46"/>
      <c r="G1027" s="56"/>
      <c r="H1027" s="46"/>
      <c r="I1027" s="56"/>
      <c r="J1027" s="46"/>
      <c r="K1027" s="56"/>
      <c r="M1027" s="56"/>
    </row>
    <row r="1028" spans="2:14">
      <c r="B1028" s="1" t="s">
        <v>286</v>
      </c>
      <c r="E1028" s="488"/>
      <c r="F1028" s="46"/>
      <c r="G1028" s="52"/>
      <c r="H1028" s="46"/>
      <c r="I1028" s="52"/>
      <c r="J1028" s="46"/>
      <c r="K1028" s="52"/>
      <c r="M1028" s="488"/>
    </row>
    <row r="1029" spans="2:14" ht="9.75" customHeight="1">
      <c r="E1029" s="46"/>
      <c r="F1029" s="46"/>
      <c r="G1029" s="46"/>
      <c r="H1029" s="46"/>
      <c r="I1029" s="46"/>
      <c r="J1029" s="46"/>
      <c r="K1029" s="46"/>
      <c r="M1029" s="46"/>
    </row>
    <row r="1030" spans="2:14">
      <c r="B1030" s="1" t="s">
        <v>165</v>
      </c>
      <c r="E1030" s="488"/>
      <c r="F1030" s="46"/>
      <c r="G1030" s="52"/>
      <c r="H1030" s="46"/>
      <c r="I1030" s="52"/>
      <c r="J1030" s="46"/>
      <c r="K1030" s="52"/>
      <c r="M1030" s="488"/>
    </row>
    <row r="1031" spans="2:14" ht="13.5" customHeight="1">
      <c r="B1031" s="1" t="s">
        <v>166</v>
      </c>
      <c r="E1031" s="489"/>
      <c r="F1031" s="46"/>
      <c r="G1031" s="54"/>
      <c r="H1031" s="46"/>
      <c r="I1031" s="54"/>
      <c r="J1031" s="46"/>
      <c r="K1031" s="54"/>
      <c r="M1031" s="489"/>
    </row>
    <row r="1032" spans="2:14">
      <c r="B1032" s="1" t="s">
        <v>331</v>
      </c>
      <c r="E1032" s="469">
        <f>SUM(E1020:E1031)</f>
        <v>0</v>
      </c>
      <c r="F1032" s="21"/>
      <c r="G1032" s="15">
        <f>SUM(G1020:G1031)</f>
        <v>0</v>
      </c>
      <c r="H1032" s="21"/>
      <c r="I1032" s="15">
        <f>SUM(I1020:I1031)</f>
        <v>0</v>
      </c>
      <c r="J1032" s="21"/>
      <c r="K1032" s="15">
        <f>SUM(K1020:K1031)</f>
        <v>0</v>
      </c>
      <c r="L1032" s="40"/>
      <c r="M1032" s="15">
        <f>SUM(M1020:M1031)</f>
        <v>0</v>
      </c>
    </row>
    <row r="1033" spans="2:14" ht="7.5" customHeight="1">
      <c r="E1033" s="16"/>
      <c r="F1033" s="16"/>
      <c r="G1033" s="16"/>
      <c r="H1033" s="16"/>
      <c r="I1033" s="16"/>
      <c r="J1033" s="16"/>
      <c r="K1033" s="16"/>
      <c r="L1033" s="40"/>
      <c r="M1033" s="16"/>
    </row>
    <row r="1034" spans="2:14">
      <c r="B1034" s="1" t="str">
        <f>B33</f>
        <v>11. 2010 taxes receivable (taxes in process</v>
      </c>
      <c r="E1034" s="16"/>
      <c r="F1034" s="16"/>
      <c r="G1034" s="16"/>
      <c r="H1034" s="16"/>
      <c r="I1034" s="16"/>
      <c r="J1034" s="16"/>
      <c r="K1034" s="16"/>
      <c r="L1034" s="40"/>
      <c r="M1034" s="16"/>
    </row>
    <row r="1035" spans="2:14">
      <c r="B1035" s="1" t="str">
        <f>B34</f>
        <v xml:space="preserve">     of collection 6/30/2011)(Line 2 less Line 10)</v>
      </c>
      <c r="E1035" s="469">
        <f>IF(E1032&lt;=0,0,E1018-E1032)</f>
        <v>0</v>
      </c>
      <c r="F1035" s="21"/>
      <c r="G1035" s="15">
        <f>IF(G1032&lt;=0,0,G1018-G1032)</f>
        <v>0</v>
      </c>
      <c r="H1035" s="21"/>
      <c r="I1035" s="15">
        <f>IF(I1032&lt;=0,0,I1018-I1032)</f>
        <v>0</v>
      </c>
      <c r="J1035" s="21"/>
      <c r="K1035" s="15">
        <f>IF(K1032&lt;=0,0,K1018-K1032)</f>
        <v>0</v>
      </c>
      <c r="L1035" s="21"/>
      <c r="M1035" s="15">
        <f>IF(M1032&lt;=0,0,M1018-M1032)</f>
        <v>0</v>
      </c>
    </row>
    <row r="1036" spans="2:14" ht="6.75" customHeight="1">
      <c r="E1036" s="16"/>
      <c r="F1036" s="16"/>
      <c r="G1036" s="16"/>
      <c r="H1036" s="16"/>
      <c r="I1036" s="16"/>
      <c r="J1036" s="16"/>
      <c r="K1036" s="16"/>
      <c r="L1036" s="40"/>
      <c r="M1036" s="16"/>
    </row>
    <row r="1037" spans="2:14">
      <c r="B1037" s="1" t="s">
        <v>236</v>
      </c>
      <c r="E1037" s="16"/>
      <c r="F1037" s="16"/>
      <c r="G1037" s="16"/>
      <c r="H1037" s="16"/>
      <c r="I1037" s="16"/>
      <c r="J1037" s="16"/>
      <c r="K1037" s="16"/>
      <c r="L1037" s="40"/>
      <c r="M1037" s="16"/>
    </row>
    <row r="1038" spans="2:14">
      <c r="B1038" s="1" t="s">
        <v>358</v>
      </c>
      <c r="E1038" s="16"/>
      <c r="F1038" s="16"/>
      <c r="G1038" s="16"/>
      <c r="H1038" s="16"/>
      <c r="I1038" s="16"/>
      <c r="J1038" s="16"/>
      <c r="K1038" s="16"/>
      <c r="L1038" s="40"/>
      <c r="M1038" s="16"/>
    </row>
    <row r="1039" spans="2:14">
      <c r="B1039" s="1" t="str">
        <f>B38</f>
        <v xml:space="preserve">     (7-1-2011 to 12-31-2012) (Line 3 x 75%)</v>
      </c>
      <c r="E1039" s="469">
        <f>SUM(E1020*0.75)</f>
        <v>0</v>
      </c>
      <c r="F1039" s="21"/>
      <c r="G1039" s="15">
        <f>SUM(G1020*0.75)</f>
        <v>0</v>
      </c>
      <c r="H1039" s="21"/>
      <c r="I1039" s="15">
        <f>SUM(I1020*0.75)</f>
        <v>0</v>
      </c>
      <c r="J1039" s="21"/>
      <c r="K1039" s="15">
        <f>SUM(K1020*0.75)</f>
        <v>0</v>
      </c>
      <c r="L1039" s="40"/>
      <c r="M1039" s="15">
        <f>SUM(M1020*0.75)</f>
        <v>0</v>
      </c>
    </row>
    <row r="1040" spans="2:14" ht="15">
      <c r="B1040" s="35" t="str">
        <f>B40</f>
        <v>Tax Collection Ratio (Jan, Mar, June)</v>
      </c>
      <c r="E1040" s="51">
        <f>IF(E1018&lt;&gt;0,(E1022+E1024+E1026+E1028+E1030)/E1018*100,0)</f>
        <v>0</v>
      </c>
      <c r="F1040" s="26" t="s">
        <v>290</v>
      </c>
      <c r="G1040" s="51">
        <f>IF(G1018&lt;&gt;0,(G1022+G1024+G1026+G1028+G1030)/G1018*100,0)</f>
        <v>0</v>
      </c>
      <c r="H1040" s="26" t="s">
        <v>290</v>
      </c>
      <c r="I1040" s="51">
        <f>IF(I1018&lt;&gt;0,(I1022+I1024+I1026+I1028+I1030)/I1018*100,0)</f>
        <v>0</v>
      </c>
      <c r="J1040" s="26" t="s">
        <v>290</v>
      </c>
      <c r="K1040" s="51">
        <f>IF(K1018&lt;&gt;0,(K1022+K1024+K1026+K1028+K1030)/K1018*100,0)</f>
        <v>0</v>
      </c>
      <c r="L1040" s="26" t="s">
        <v>290</v>
      </c>
      <c r="M1040" s="51">
        <f>IF(M1018&lt;&gt;0,(M1022+M1024+M1026+M1028+M1030)/M1018*100,0)</f>
        <v>0</v>
      </c>
      <c r="N1040" s="24" t="s">
        <v>290</v>
      </c>
    </row>
    <row r="1041" spans="2:2" ht="5.0999999999999996" customHeight="1"/>
    <row r="1042" spans="2:2" ht="12.75" customHeight="1">
      <c r="B1042" s="1" t="str">
        <f>B98</f>
        <v>*Amounts are available from the County Treasurer.       **These Jan.-June, 2011 amounts are available from the County Treasurer.  (Does not</v>
      </c>
    </row>
    <row r="1043" spans="2:2">
      <c r="B1043" s="1" t="str">
        <f>B99</f>
        <v xml:space="preserve"> include MVPT.  Should correspond to school records.)</v>
      </c>
    </row>
  </sheetData>
  <sheetProtection password="CCCB" sheet="1" objects="1" scenarios="1"/>
  <phoneticPr fontId="3" type="noConversion"/>
  <dataValidations count="4">
    <dataValidation type="whole" operator="greaterThanOrEqual" showInputMessage="1" showErrorMessage="1" errorTitle="Invalid Data Entry" error="Please enter a positive whole number or press the delete key or enter key." sqref="K338 I294">
      <formula1>0</formula1>
    </dataValidation>
    <dataValidation type="whole" operator="greaterThanOrEqual" showInputMessage="1" showErrorMessage="1" errorTitle="Invalid Data Entry" error="Please enter a positive whole number or press the delete key or enter zero." sqref="E376 G376 I376 K376 M376 E378 G378 I378 K378 M378 E380 G380 I380 K380 M380 E382 E384:E385 G384:G385 G382 I382 I384:I385 K382 K384:K385 M384:M385 M382 E424 G424 I424 K424 E426 G426 I426 K426 E428 G428 I428 K428 E430 G430 I430 K430 E432:E433 G432:G433 I432:I433 K432:K433 E469 G469 I469 K469 M469 M471 K471 I471 G471 E471 E473 G473 I473 K473 M473 M475 K475 I475 G475 E475 E477:E478 G477:G478 I477:I478 K477:K478 M477:M478 E511 G511 I511 K511 M511 M513 K513 I513 G513 E513 E515 G515 I515 K515 M515 M517 K517 I517 G517 E517 E519:E520 G519:G520 I519:I520 K519:K520 M519:M520">
      <formula1>0</formula1>
    </dataValidation>
    <dataValidation type="whole" operator="greaterThanOrEqual" showInputMessage="1" showErrorMessage="1" errorTitle="Invalid Data Entry" error="Please enter a whole positive number or press the delete key or enter zero." sqref="E898 G898 I898 K898 M898 E900 G900 I900 K900 M900 E902 G902 I902 K902 M902 E904 G904 I904 K904 M904 E906:E907 G906:G907 I906:I907 K906:K907 M906:M907 E939 G939 I939 K939 E941 G941 I941 K941 K943 I943 G943 E943 E945 G945 I945 K945 K947:K948 I947:I948 G947:G948 E947:E948 E980 G980 I980 K980 M980 M982 K982 I982 G982 E982 E984 G984 I984 K984 M984 M986 K986 I986 G986 E986 E988:E989 G988:G989 I988:I989 K988:K989 M988:M989 E1022 G1022 I1022 K1021:K1022 M1022 M1024 K1024 I1024 G1024 E1024 E1026 G1026 I1026 K1026 M1026 M1028 K1028 I1028 G1028 E1028 E1030:E1031 G1030:G1031 I1030:I1031 K1030:K1031 M1030:M1031 G202 I202 K202 M202 M204 K204 I204 G204 E204 E206 G206 I206 E202 K206 M206 M208 K208 I208 G208 E208 E210:E211 G210:G211 I210:I211 K210:K211 M210:M211 E248 G248 I248 K248 K250 I250 G250 E250 E252 G252 I252 K252 K254 I254 G254 E254 E256:E257 G256:G257 I256:I257 K256:K257 E291 G291 I291 K291 M291 M293 K293 I293 G293 E293 E295 G295 I295 K295 M295 M297 K297 I297 G297 E297 E299:E300 G299:G300 I299:I300 K299:K300 M299:M300 E333 G333 I333 K333 M333 M335 K335 I335 G335 E335 E337 G337 I337 K337 M337 M339 K339 I339 G339 E339 E341:E342 G341:G342 I341:I342 K341:K342 M341:M342 I556 E554 G554 I554 K554 M554 M556 K556 G556 E556 E558 G558 I558 K558 M558 M560 K560 I560 G560 E560 E562:E563 G562:G563 I562:I563 K562:K563 M562:M563 E602 G602 I602 K602 K604 I604 G604 E604 E606 G606 I606 K606 K608 I608 G608 E608 E610:E611 G610:G611 I610:I611 K610:K611 E642 G642 I642 K641:K642 M642 M644 K644 I644 G644 E644 E646 I646 K646 M646 M648 K648 I648 G646:G648 E648 E650:E651 G650:G651 I650:I651 K650:K651 M650:M651 E684 G684 I684 K684 M684 M686 K686 I686 G686 E686 E688 G688 I688 K688 M688 M690 K690 I690 G690 E690 E692:E693 G692:G693 I692:I693 K692:K693 M692:M693 E726 G726 I726 K726 M726 E728 G728 I728 K728 M728 E730 G730 I730 K730 M730 M732 K732 I732 G732 E732 E734:E735 G734:G735 I734:I735 K734:K735 M734:M735 E774 G774 I774 K774 K776 I776 G776 E776 E778 G778 I778 K778 K780 I780 G780 E780 K782:K783 I782:I783 G782:G783 E782:E783 E815 G815 I815 K815 M815 M817 K817 I817 G817 E817 E819 G819 I819 K819 M819 M821 K821 I821 G821 E821 E823:E824 G823:G824 I823:I824 K823:K824 M823:M824 E856 G856 I856 K856 M856 M858 K858 I858 G858 E858 E860 G860 I860 K860 M860 M862 K862 I862 G862 E862 M864:M865 K864:K865 I864:I865 G864:G865 E864:E865">
      <formula1>0</formula1>
    </dataValidation>
    <dataValidation type="whole" operator="greaterThanOrEqual" showInputMessage="1" showErrorMessage="1" errorTitle="Invalid Data Entry" error="Please enter a whole number or press the delete key or enter zero." sqref="E196 G196 I196 K196 M196 M198 K198 I198 G198 E198 E242 G242 I242 K242 K244 I244 G244 E244 E285 G285 I285 K285 M285 M287 K287 I287 G287 E287 M327 I327:K327 G327 E327 E329 G329 I329 K329 M329 E370 G370 I370 K370 M370 M372 K372 I372 G372 E372 E418 G418 I418 K418 K420 I420 G420 E420 M463 K463 I463 G463 E463 E465 G465 I465 K465 M465 M505 K505 I505 G505 E505 E507 G507 I507 K507 M507 M548 K548 I548 G548 E548 E550 G550 I550 K550 M550:M551 K596 K598 I596 G596 E596 E598 G598 I598 M636 K636 I636 G636 E636 E638 G638 I638 K638 M638 M678 K678 I678 G678 E678 E680 G680 I680 K680 M680 M720 K720 I720 G720 E720 E722 G722 I722 K722 M722 K768 I768 G768 E768 E770 G770 I770 K770 M809 K809 I809 G809 E809 E811 G811 I811 K811 M811 M850 K850 I850 G850 E850 E852 G852 I852 K852 M852 E892 G892 I892 K892 M892 M894 K894 I894 G894 E894 K933 I933 G933 E933 E935 G935 I935 K935 M974 K974 I974 G974 E974 E976 G976 I976 K976 M976 M1016 K1016 I1016 G1016 E1016 E1018 G1018 I1018 K1018 M1018">
      <formula1>-1000000000</formula1>
    </dataValidation>
  </dataValidations>
  <hyperlinks>
    <hyperlink ref="O1" location="Contents!A1" display="Return to Contents page"/>
  </hyperlinks>
  <printOptions horizontalCentered="1"/>
  <pageMargins left="0.25" right="0.25" top="0.25" bottom="0.25" header="0.5" footer="0.5"/>
  <pageSetup scale="90" orientation="landscape" blackAndWhite="1"/>
  <headerFooter alignWithMargins="0">
    <oddFooter xml:space="preserve">&amp;L&amp;"Geneva,Regular"
&amp;D  &amp;T &amp;C
Form 110&amp;R
Page &amp;P </oddFooter>
  </headerFooter>
  <rowBreaks count="24" manualBreakCount="24">
    <brk id="51" max="65535" man="1"/>
    <brk id="99" max="65535" man="1"/>
    <brk id="140" max="13" man="1"/>
    <brk id="182" max="13" man="1"/>
    <brk id="229" max="13" man="1"/>
    <brk id="272" max="13" man="1"/>
    <brk id="313" max="13" man="1"/>
    <brk id="355" max="13" man="1"/>
    <brk id="405" max="13" man="1"/>
    <brk id="450" max="13" man="1"/>
    <brk id="491" max="13" man="1"/>
    <brk id="533" max="13" man="1"/>
    <brk id="583" max="13" man="1"/>
    <brk id="623" max="13" man="1"/>
    <brk id="664" max="13" man="1"/>
    <brk id="705" max="13" man="1"/>
    <brk id="755" max="13" man="1"/>
    <brk id="796" max="13" man="1"/>
    <brk id="836" max="13" man="1"/>
    <brk id="877" max="13" man="1"/>
    <brk id="920" max="13" man="1"/>
    <brk id="961" max="13" man="1"/>
    <brk id="1002" max="13" man="1"/>
    <brk id="1067" max="65535" man="1"/>
  </rowBreaks>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62"/>
  <sheetViews>
    <sheetView topLeftCell="A28" zoomScale="125" workbookViewId="0">
      <selection activeCell="G58" sqref="G58"/>
    </sheetView>
  </sheetViews>
  <sheetFormatPr defaultColWidth="10.7109375" defaultRowHeight="15"/>
  <cols>
    <col min="1" max="3" width="10.7109375" style="65" customWidth="1"/>
    <col min="4" max="4" width="16.7109375" style="65" customWidth="1"/>
    <col min="5" max="5" width="8.85546875" style="65" customWidth="1"/>
    <col min="6" max="7" width="14.140625" style="65" customWidth="1"/>
    <col min="8" max="8" width="3.42578125" style="65" customWidth="1"/>
    <col min="9" max="9" width="20.7109375" style="65" customWidth="1"/>
    <col min="10" max="16384" width="10.7109375" style="65"/>
  </cols>
  <sheetData>
    <row r="1" spans="1:9">
      <c r="A1" s="64" t="s">
        <v>359</v>
      </c>
      <c r="B1" s="64"/>
      <c r="C1" s="64"/>
      <c r="D1" s="64"/>
      <c r="E1" s="64"/>
      <c r="F1" s="64"/>
      <c r="G1" s="64"/>
      <c r="I1" s="480" t="s">
        <v>268</v>
      </c>
    </row>
    <row r="2" spans="1:9">
      <c r="A2" s="66">
        <f>[2]OPEN!$N$3</f>
        <v>40664</v>
      </c>
      <c r="B2" s="64"/>
      <c r="C2" s="64"/>
      <c r="D2" s="64"/>
      <c r="E2" s="64"/>
      <c r="F2" s="64"/>
      <c r="G2" s="64"/>
    </row>
    <row r="3" spans="1:9">
      <c r="A3" s="67" t="s">
        <v>360</v>
      </c>
      <c r="B3" s="68"/>
      <c r="C3" s="68"/>
      <c r="D3" s="68"/>
      <c r="E3" s="68"/>
      <c r="F3" s="68"/>
      <c r="G3" s="68"/>
    </row>
    <row r="4" spans="1:9">
      <c r="A4" s="64"/>
      <c r="B4" s="64"/>
      <c r="C4" s="64"/>
      <c r="D4" s="64"/>
      <c r="E4" s="64"/>
      <c r="F4" s="69" t="s">
        <v>361</v>
      </c>
      <c r="G4" s="70">
        <f>[2]OPEN!B4</f>
        <v>395</v>
      </c>
    </row>
    <row r="5" spans="1:9">
      <c r="A5" s="67" t="s">
        <v>362</v>
      </c>
      <c r="B5" s="68"/>
      <c r="C5" s="68"/>
      <c r="D5" s="68"/>
      <c r="E5" s="68"/>
      <c r="F5" s="68"/>
      <c r="G5" s="68"/>
    </row>
    <row r="6" spans="1:9">
      <c r="A6" s="67" t="str">
        <f>[2]OPEN!$P$4&amp;" ESTIMATED SPECIAL EDUCATION REVENUE"</f>
        <v>2011-2012 ESTIMATED SPECIAL EDUCATION REVENUE</v>
      </c>
      <c r="B6" s="68"/>
      <c r="C6" s="68"/>
      <c r="D6" s="68"/>
      <c r="E6" s="68"/>
      <c r="F6" s="68"/>
      <c r="G6" s="68"/>
    </row>
    <row r="7" spans="1:9">
      <c r="A7" s="67" t="s">
        <v>363</v>
      </c>
      <c r="B7" s="68"/>
      <c r="C7" s="68"/>
      <c r="D7" s="68"/>
      <c r="E7" s="68"/>
      <c r="F7" s="68"/>
      <c r="G7" s="68"/>
    </row>
    <row r="8" spans="1:9" ht="5.0999999999999996" customHeight="1">
      <c r="A8" s="64"/>
      <c r="B8" s="64"/>
      <c r="C8" s="64"/>
      <c r="D8" s="64"/>
      <c r="E8" s="64"/>
      <c r="F8" s="64"/>
      <c r="G8" s="64"/>
    </row>
    <row r="9" spans="1:9">
      <c r="A9" s="64" t="s">
        <v>364</v>
      </c>
      <c r="B9" s="64"/>
      <c r="C9" s="64"/>
      <c r="D9" s="64"/>
      <c r="E9" s="64"/>
      <c r="F9" s="64"/>
      <c r="G9" s="64"/>
    </row>
    <row r="10" spans="1:9">
      <c r="A10" s="64"/>
      <c r="B10" s="64"/>
      <c r="C10" s="64"/>
      <c r="D10" s="64"/>
      <c r="E10" s="64"/>
      <c r="F10" s="64"/>
      <c r="G10" s="64"/>
    </row>
    <row r="11" spans="1:9">
      <c r="A11" s="64" t="s">
        <v>365</v>
      </c>
      <c r="B11" s="64"/>
      <c r="C11" s="64"/>
      <c r="D11" s="64"/>
      <c r="E11" s="64"/>
      <c r="F11" s="64"/>
      <c r="G11" s="71"/>
    </row>
    <row r="12" spans="1:9" ht="8.1" customHeight="1">
      <c r="A12" s="64"/>
      <c r="B12" s="64"/>
      <c r="C12" s="64"/>
      <c r="D12" s="64"/>
      <c r="E12" s="64"/>
      <c r="F12" s="64"/>
      <c r="G12" s="64"/>
    </row>
    <row r="13" spans="1:9">
      <c r="A13" s="64" t="s">
        <v>367</v>
      </c>
      <c r="B13" s="64"/>
      <c r="C13" s="64"/>
      <c r="D13" s="64"/>
      <c r="E13" s="71"/>
      <c r="F13" s="72" t="s">
        <v>368</v>
      </c>
      <c r="G13" s="73">
        <f>SUM(E13*0.4)</f>
        <v>0</v>
      </c>
    </row>
    <row r="14" spans="1:9" ht="8.1" customHeight="1">
      <c r="A14" s="64"/>
      <c r="B14" s="64"/>
      <c r="C14" s="64"/>
      <c r="D14" s="64"/>
      <c r="E14" s="64"/>
      <c r="F14" s="64"/>
      <c r="G14" s="74"/>
    </row>
    <row r="15" spans="1:9">
      <c r="A15" s="64" t="s">
        <v>369</v>
      </c>
      <c r="B15" s="64"/>
      <c r="C15" s="64"/>
      <c r="D15" s="64"/>
      <c r="E15" s="64"/>
      <c r="F15" s="64"/>
      <c r="G15" s="73">
        <f>SUM(G11:G13)</f>
        <v>0</v>
      </c>
    </row>
    <row r="16" spans="1:9" ht="8.1" customHeight="1">
      <c r="A16" s="64"/>
      <c r="B16" s="64"/>
      <c r="C16" s="64"/>
      <c r="D16" s="64"/>
      <c r="E16" s="64"/>
      <c r="F16" s="64"/>
      <c r="G16" s="64"/>
    </row>
    <row r="17" spans="1:12">
      <c r="A17" s="64" t="str">
        <f>"4.  Estimated State Aid due from 7-1-"&amp;[2]OPEN!$Q$5&amp;" to 6-30-"&amp;[2]OPEN!$S$5&amp;" (Line 3 x " &amp; [2]OPEN!$P$16  &amp;  ")"</f>
        <v>4.  Estimated State Aid due from 7-1-2011 to 6-30-2012 (Line 3 x $28,900)</v>
      </c>
      <c r="B17" s="64"/>
      <c r="C17" s="64"/>
      <c r="D17" s="64"/>
      <c r="E17" s="64"/>
      <c r="F17" s="64"/>
      <c r="G17" s="75">
        <f>SUM(G15*[2]OPEN!$N$16)</f>
        <v>0</v>
      </c>
      <c r="L17" s="537"/>
    </row>
    <row r="18" spans="1:12" ht="5.0999999999999996" customHeight="1">
      <c r="A18" s="64"/>
      <c r="B18" s="64"/>
      <c r="C18" s="64"/>
      <c r="D18" s="64"/>
      <c r="E18" s="64"/>
      <c r="F18" s="64"/>
      <c r="G18" s="76"/>
    </row>
    <row r="19" spans="1:12">
      <c r="A19" s="77" t="s">
        <v>370</v>
      </c>
      <c r="B19" s="77"/>
      <c r="C19" s="77"/>
      <c r="D19" s="77"/>
      <c r="E19" s="77"/>
      <c r="F19" s="77"/>
      <c r="G19" s="77"/>
    </row>
    <row r="20" spans="1:12" ht="15" customHeight="1">
      <c r="A20" s="72"/>
      <c r="B20" s="72"/>
      <c r="C20" s="72"/>
      <c r="D20" s="72"/>
      <c r="E20" s="72"/>
      <c r="F20" s="72"/>
      <c r="G20" s="72"/>
    </row>
    <row r="21" spans="1:12" ht="20.100000000000001" customHeight="1">
      <c r="A21" s="67" t="s">
        <v>371</v>
      </c>
      <c r="B21" s="67"/>
      <c r="C21" s="67"/>
      <c r="D21" s="67"/>
      <c r="E21" s="67"/>
      <c r="F21" s="67"/>
      <c r="G21" s="67"/>
    </row>
    <row r="22" spans="1:12" ht="6.75" customHeight="1">
      <c r="A22" s="64"/>
      <c r="B22" s="64"/>
      <c r="C22" s="64"/>
      <c r="D22" s="64"/>
      <c r="E22" s="64"/>
      <c r="F22" s="64"/>
      <c r="G22" s="78"/>
    </row>
    <row r="23" spans="1:12">
      <c r="A23" s="77"/>
      <c r="B23" s="77"/>
      <c r="C23" s="77"/>
      <c r="D23" s="77"/>
      <c r="E23" s="77"/>
      <c r="F23" s="77"/>
      <c r="G23" s="77"/>
    </row>
    <row r="24" spans="1:12" s="79" customFormat="1">
      <c r="A24" s="72" t="s">
        <v>372</v>
      </c>
      <c r="B24" s="72"/>
      <c r="C24" s="72"/>
      <c r="D24" s="72"/>
      <c r="E24" s="72"/>
      <c r="F24" s="72"/>
      <c r="G24" s="72"/>
    </row>
    <row r="25" spans="1:12" ht="6" customHeight="1">
      <c r="A25" s="64"/>
      <c r="B25" s="64"/>
      <c r="C25" s="64"/>
      <c r="D25" s="64"/>
      <c r="E25" s="64"/>
      <c r="F25" s="64"/>
      <c r="G25" s="64"/>
    </row>
    <row r="26" spans="1:12">
      <c r="A26" s="64" t="s">
        <v>274</v>
      </c>
      <c r="B26" s="64"/>
      <c r="C26" s="64"/>
      <c r="D26" s="64"/>
      <c r="E26" s="64"/>
      <c r="F26" s="64"/>
      <c r="G26" s="80"/>
    </row>
    <row r="27" spans="1:12">
      <c r="A27" s="64" t="s">
        <v>275</v>
      </c>
      <c r="B27" s="64"/>
      <c r="C27" s="64"/>
      <c r="D27" s="64"/>
      <c r="E27" s="64"/>
      <c r="F27" s="64"/>
      <c r="G27" s="81"/>
    </row>
    <row r="28" spans="1:12" ht="6" customHeight="1">
      <c r="A28" s="64"/>
      <c r="B28" s="64"/>
      <c r="C28" s="64"/>
      <c r="D28" s="64"/>
      <c r="E28" s="64"/>
      <c r="F28" s="64"/>
      <c r="G28" s="81"/>
    </row>
    <row r="29" spans="1:12">
      <c r="A29" s="64" t="s">
        <v>276</v>
      </c>
      <c r="B29" s="64"/>
      <c r="C29" s="64"/>
      <c r="D29" s="64"/>
      <c r="E29" s="64"/>
      <c r="F29" s="64"/>
      <c r="G29" s="80">
        <v>49600</v>
      </c>
    </row>
    <row r="30" spans="1:12" ht="6" customHeight="1">
      <c r="A30" s="64"/>
      <c r="B30" s="64"/>
      <c r="C30" s="64"/>
      <c r="D30" s="64"/>
      <c r="E30" s="64"/>
      <c r="F30" s="64"/>
      <c r="G30" s="81"/>
    </row>
    <row r="31" spans="1:12">
      <c r="A31" s="64" t="s">
        <v>277</v>
      </c>
      <c r="B31" s="64"/>
      <c r="C31" s="64"/>
      <c r="D31" s="64"/>
      <c r="E31" s="64"/>
      <c r="F31" s="64"/>
      <c r="G31" s="80"/>
    </row>
    <row r="32" spans="1:12" ht="6" customHeight="1">
      <c r="A32" s="64"/>
      <c r="B32" s="64"/>
      <c r="C32" s="64"/>
      <c r="D32" s="64"/>
      <c r="E32" s="64"/>
      <c r="F32" s="64"/>
      <c r="G32" s="81"/>
    </row>
    <row r="33" spans="1:7">
      <c r="A33" s="64" t="s">
        <v>278</v>
      </c>
      <c r="B33" s="64"/>
      <c r="C33" s="64"/>
      <c r="D33" s="64"/>
      <c r="E33" s="64"/>
      <c r="F33" s="64"/>
      <c r="G33" s="80"/>
    </row>
    <row r="34" spans="1:7" ht="6" customHeight="1">
      <c r="A34" s="64"/>
      <c r="B34" s="64"/>
      <c r="C34" s="64"/>
      <c r="D34" s="64"/>
      <c r="E34" s="64"/>
      <c r="F34" s="64"/>
      <c r="G34" s="81"/>
    </row>
    <row r="35" spans="1:7">
      <c r="A35" s="64" t="s">
        <v>279</v>
      </c>
      <c r="B35" s="64"/>
      <c r="C35" s="64"/>
      <c r="D35" s="64"/>
      <c r="E35" s="64"/>
      <c r="F35" s="64"/>
      <c r="G35" s="80">
        <v>20000</v>
      </c>
    </row>
    <row r="36" spans="1:7" ht="6" customHeight="1">
      <c r="A36" s="64"/>
      <c r="B36" s="64"/>
      <c r="C36" s="64"/>
      <c r="D36" s="64"/>
      <c r="E36" s="64"/>
      <c r="F36" s="64"/>
      <c r="G36" s="81"/>
    </row>
    <row r="37" spans="1:7">
      <c r="A37" s="64" t="s">
        <v>376</v>
      </c>
      <c r="B37" s="64"/>
      <c r="C37" s="64"/>
      <c r="D37" s="64"/>
      <c r="E37" s="64"/>
      <c r="F37" s="64"/>
      <c r="G37" s="80"/>
    </row>
    <row r="38" spans="1:7" ht="6" customHeight="1">
      <c r="A38" s="64"/>
      <c r="B38" s="64"/>
      <c r="C38" s="64"/>
      <c r="D38" s="64"/>
      <c r="E38" s="64"/>
      <c r="F38" s="64"/>
      <c r="G38" s="82"/>
    </row>
    <row r="39" spans="1:7">
      <c r="A39" s="64" t="s">
        <v>377</v>
      </c>
      <c r="B39" s="64"/>
      <c r="C39" s="64"/>
      <c r="D39" s="64"/>
      <c r="E39" s="64"/>
      <c r="F39" s="64"/>
      <c r="G39" s="81"/>
    </row>
    <row r="40" spans="1:7" ht="14.1" customHeight="1">
      <c r="A40" s="64" t="s">
        <v>287</v>
      </c>
      <c r="B40" s="64"/>
      <c r="C40" s="64"/>
      <c r="D40" s="64"/>
      <c r="E40" s="64"/>
      <c r="F40" s="64"/>
      <c r="G40" s="80"/>
    </row>
    <row r="41" spans="1:7" ht="6" customHeight="1">
      <c r="A41" s="64"/>
      <c r="B41" s="64"/>
      <c r="C41" s="64"/>
      <c r="D41" s="64"/>
      <c r="E41" s="64"/>
      <c r="F41" s="64"/>
      <c r="G41" s="81"/>
    </row>
    <row r="42" spans="1:7">
      <c r="A42" s="64" t="s">
        <v>379</v>
      </c>
      <c r="B42" s="64"/>
      <c r="C42" s="64"/>
      <c r="D42" s="64"/>
      <c r="E42" s="64"/>
      <c r="F42" s="64"/>
      <c r="G42" s="80"/>
    </row>
    <row r="43" spans="1:7" ht="6" customHeight="1">
      <c r="A43" s="64"/>
      <c r="B43" s="64"/>
      <c r="C43" s="64"/>
      <c r="D43" s="64"/>
      <c r="E43" s="64"/>
      <c r="F43" s="64"/>
      <c r="G43" s="81"/>
    </row>
    <row r="44" spans="1:7">
      <c r="A44" s="64" t="s">
        <v>380</v>
      </c>
      <c r="B44" s="64"/>
      <c r="C44" s="64"/>
      <c r="D44" s="64"/>
      <c r="E44" s="64"/>
      <c r="F44" s="64"/>
      <c r="G44" s="83">
        <f>SUM(G26:G42)</f>
        <v>69600</v>
      </c>
    </row>
    <row r="45" spans="1:7" ht="6" customHeight="1">
      <c r="A45" s="64"/>
      <c r="B45" s="64"/>
      <c r="C45" s="64"/>
      <c r="D45" s="64"/>
      <c r="E45" s="64"/>
      <c r="F45" s="64"/>
      <c r="G45" s="81"/>
    </row>
    <row r="46" spans="1:7">
      <c r="A46" s="64" t="s">
        <v>381</v>
      </c>
      <c r="B46" s="64"/>
      <c r="C46" s="64"/>
      <c r="D46" s="64"/>
      <c r="E46" s="64"/>
      <c r="F46" s="64"/>
      <c r="G46" s="80"/>
    </row>
    <row r="47" spans="1:7" ht="6" customHeight="1">
      <c r="A47" s="64"/>
      <c r="B47" s="64"/>
      <c r="C47" s="64"/>
      <c r="D47" s="64"/>
      <c r="E47" s="64"/>
      <c r="F47" s="64"/>
      <c r="G47" s="81"/>
    </row>
    <row r="48" spans="1:7">
      <c r="A48" s="64" t="s">
        <v>295</v>
      </c>
      <c r="B48" s="64"/>
      <c r="C48" s="64"/>
      <c r="D48" s="64"/>
      <c r="E48" s="64"/>
      <c r="F48" s="64"/>
      <c r="G48" s="83">
        <f>SUM(G44-G46)</f>
        <v>69600</v>
      </c>
    </row>
    <row r="49" spans="1:8" ht="6" customHeight="1">
      <c r="A49" s="64"/>
      <c r="B49" s="64"/>
      <c r="C49" s="64"/>
      <c r="D49" s="64"/>
      <c r="E49" s="64"/>
      <c r="F49" s="64"/>
      <c r="G49" s="81"/>
    </row>
    <row r="50" spans="1:8">
      <c r="A50" s="64" t="str">
        <f>"16. Total Estimated Transportation Aid (7-1-"&amp;[2]OPEN!$Q$5&amp;" to 6-30-"&amp;[2]OPEN!$S$5&amp;") (Line 15 x 80%)"</f>
        <v>16. Total Estimated Transportation Aid (7-1-2011 to 6-30-2012) (Line 15 x 80%)</v>
      </c>
      <c r="B50" s="64"/>
      <c r="C50" s="64"/>
      <c r="D50" s="64"/>
      <c r="E50" s="64"/>
      <c r="F50" s="64"/>
      <c r="G50" s="83">
        <f>SUM(G48*0.8)</f>
        <v>55680</v>
      </c>
    </row>
    <row r="51" spans="1:8" ht="6" customHeight="1">
      <c r="A51" s="84"/>
      <c r="B51" s="84"/>
      <c r="C51" s="84"/>
      <c r="D51" s="84"/>
      <c r="E51" s="84"/>
      <c r="F51" s="84"/>
      <c r="G51" s="85"/>
    </row>
    <row r="52" spans="1:8" ht="5.0999999999999996" customHeight="1">
      <c r="A52" s="64"/>
      <c r="B52" s="64"/>
      <c r="C52" s="64"/>
      <c r="D52" s="64"/>
      <c r="E52" s="64"/>
      <c r="F52" s="64"/>
      <c r="G52" s="64"/>
    </row>
    <row r="53" spans="1:8">
      <c r="A53" s="87" t="str">
        <f>"17.  Estimated Catastrophic State Aid (7-1-"&amp;[2]OPEN!$Q$5&amp;" to 6-30-"&amp;[2]OPEN!$S$5&amp;")"</f>
        <v>17.  Estimated Catastrophic State Aid (7-1-2011 to 6-30-2012)</v>
      </c>
      <c r="B53" s="64"/>
      <c r="C53" s="64"/>
      <c r="D53" s="64"/>
      <c r="E53" s="64"/>
      <c r="F53" s="64"/>
      <c r="G53" s="80"/>
      <c r="H53" s="86"/>
    </row>
    <row r="54" spans="1:8" ht="5.25" customHeight="1">
      <c r="A54" s="64"/>
      <c r="B54" s="87"/>
      <c r="C54" s="64"/>
      <c r="D54" s="64"/>
      <c r="E54" s="64"/>
      <c r="F54" s="64"/>
      <c r="G54" s="64"/>
    </row>
    <row r="55" spans="1:8" ht="15.75" customHeight="1">
      <c r="A55" s="64" t="s">
        <v>413</v>
      </c>
      <c r="B55" s="87"/>
      <c r="C55" s="64"/>
      <c r="D55" s="64"/>
      <c r="E55" s="64"/>
      <c r="F55" s="64"/>
      <c r="G55" s="80"/>
    </row>
    <row r="56" spans="1:8" ht="5.25" customHeight="1">
      <c r="A56" s="64"/>
      <c r="B56" s="87"/>
      <c r="C56" s="64"/>
      <c r="D56" s="64"/>
      <c r="E56" s="64"/>
      <c r="F56" s="64"/>
      <c r="G56" s="64"/>
    </row>
    <row r="57" spans="1:8">
      <c r="A57" s="64" t="s">
        <v>487</v>
      </c>
      <c r="B57" s="64"/>
      <c r="C57" s="64"/>
      <c r="D57" s="64"/>
      <c r="E57" s="64"/>
      <c r="F57" s="64"/>
      <c r="G57" s="64"/>
    </row>
    <row r="58" spans="1:8">
      <c r="A58" s="65" t="s">
        <v>296</v>
      </c>
      <c r="B58" s="88" t="str">
        <f>"(7-1-"&amp;[2]OPEN!$Q$5&amp;" to 6-30-"&amp;[2]OPEN!$S$5&amp;") "</f>
        <v xml:space="preserve">(7-1-2011 to 6-30-2012) </v>
      </c>
      <c r="G58" s="533">
        <v>266173</v>
      </c>
    </row>
    <row r="59" spans="1:8" ht="6.75" customHeight="1"/>
    <row r="60" spans="1:8">
      <c r="A60" s="88" t="str">
        <f>"20.  Total Estimated Special Education Aid (7-1-"&amp;[2]OPEN!$Q$5&amp;" to 6-30-"&amp;[2]OPEN!$S$5&amp;") (Line 4+16+17+18+19)"</f>
        <v>20.  Total Estimated Special Education Aid (7-1-2011 to 6-30-2012) (Line 4+16+17+18+19)</v>
      </c>
      <c r="G60" s="89">
        <f>G17+G50+G53+G55+G58</f>
        <v>321853</v>
      </c>
      <c r="H60" s="90"/>
    </row>
    <row r="62" spans="1:8">
      <c r="A62" s="64"/>
    </row>
  </sheetData>
  <sheetProtection password="CC77" sheet="1" objects="1" scenarios="1"/>
  <phoneticPr fontId="2" type="noConversion"/>
  <dataValidations count="3">
    <dataValidation type="whole" operator="greaterThanOrEqual" showInputMessage="1" showErrorMessage="1" errorTitle="Invalid Data Entry" error="Please enter a positive whole dollar amount or press the delete key or enter zero." sqref="G53 G58 G26 G29 G31 G33 G35 G37 G40 G42 G46">
      <formula1>0</formula1>
    </dataValidation>
    <dataValidation type="decimal" operator="greaterThanOrEqual" showInputMessage="1" showErrorMessage="1" errorTitle="Invalid Data Entry" error="Please report FTE to nearest tenth (Ex: 2.5) or press the delete key or enter zero." sqref="G11 E13">
      <formula1>0</formula1>
    </dataValidation>
    <dataValidation type="whole" operator="greaterThanOrEqual" showInputMessage="1" showErrorMessage="1" errorTitle="Invalid Data Entry" error="Please enter a positive whole dollar amount or press the delete key or enter zero." sqref="G55">
      <formula1>0</formula1>
    </dataValidation>
  </dataValidations>
  <hyperlinks>
    <hyperlink ref="I1" location="Contents!A1" display="Return to Contents page"/>
  </hyperlinks>
  <printOptions horizontalCentered="1" verticalCentered="1"/>
  <pageMargins left="0.5" right="0.5" top="0.5" bottom="0.5" header="0.5" footer="0.5"/>
  <pageSetup scale="99" orientation="portrait" blackAndWhite="1" horizontalDpi="4294967292" verticalDpi="4294967292"/>
  <headerFooter alignWithMargins="0">
    <oddFooter>&amp;L&amp;D  &amp;T &amp;CForm 118</oddFooter>
  </headerFooter>
  <rowBreaks count="1" manualBreakCount="1">
    <brk id="59" max="6553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K347"/>
  <sheetViews>
    <sheetView workbookViewId="0">
      <selection activeCell="I15" sqref="I15"/>
    </sheetView>
  </sheetViews>
  <sheetFormatPr defaultColWidth="10.28515625" defaultRowHeight="12.75"/>
  <cols>
    <col min="1" max="4" width="10.28515625" style="91" customWidth="1"/>
    <col min="5" max="5" width="4" style="91" customWidth="1"/>
    <col min="6" max="6" width="6.28515625" style="91" customWidth="1"/>
    <col min="7" max="7" width="10.28515625" style="91" customWidth="1"/>
    <col min="8" max="8" width="7.140625" style="91" customWidth="1"/>
    <col min="9" max="9" width="19.28515625" style="91" customWidth="1"/>
    <col min="10" max="10" width="3.28515625" style="91" customWidth="1"/>
    <col min="11" max="11" width="20.7109375" style="91" customWidth="1"/>
    <col min="12" max="16384" width="10.28515625" style="91"/>
  </cols>
  <sheetData>
    <row r="1" spans="1:11">
      <c r="A1" s="91" t="s">
        <v>297</v>
      </c>
      <c r="H1" s="92" t="s">
        <v>361</v>
      </c>
      <c r="I1" s="93">
        <f>[2]OPEN!$B$4</f>
        <v>395</v>
      </c>
      <c r="K1" s="480" t="s">
        <v>268</v>
      </c>
    </row>
    <row r="2" spans="1:11">
      <c r="A2" s="91" t="s">
        <v>405</v>
      </c>
    </row>
    <row r="3" spans="1:11">
      <c r="A3" s="91" t="s">
        <v>298</v>
      </c>
    </row>
    <row r="4" spans="1:11">
      <c r="A4" s="432">
        <f>[2]OPEN!$N$3</f>
        <v>40664</v>
      </c>
    </row>
    <row r="6" spans="1:11" ht="15.75">
      <c r="A6" s="94" t="s">
        <v>299</v>
      </c>
      <c r="B6" s="95"/>
      <c r="C6" s="95"/>
      <c r="D6" s="95"/>
      <c r="E6" s="95"/>
      <c r="F6" s="95"/>
      <c r="G6" s="95"/>
      <c r="H6" s="95"/>
      <c r="I6" s="95"/>
    </row>
    <row r="7" spans="1:11" ht="15.75">
      <c r="A7" s="94" t="str">
        <f>[2]OPEN!$P$4&amp;" Estimated"</f>
        <v>2011-2012 Estimated</v>
      </c>
      <c r="B7" s="95"/>
      <c r="C7" s="95"/>
      <c r="D7" s="95"/>
      <c r="E7" s="95"/>
      <c r="F7" s="95"/>
      <c r="G7" s="95"/>
      <c r="H7" s="95"/>
      <c r="I7" s="95"/>
    </row>
    <row r="8" spans="1:11" ht="15.75">
      <c r="A8" s="94" t="s">
        <v>183</v>
      </c>
      <c r="B8" s="95"/>
      <c r="C8" s="95"/>
      <c r="D8" s="95"/>
      <c r="E8" s="95"/>
      <c r="F8" s="95"/>
      <c r="G8" s="95"/>
      <c r="H8" s="95"/>
      <c r="I8" s="95"/>
    </row>
    <row r="9" spans="1:11">
      <c r="K9" s="448"/>
    </row>
    <row r="12" spans="1:11">
      <c r="A12" s="96" t="s">
        <v>300</v>
      </c>
    </row>
    <row r="13" spans="1:11">
      <c r="A13" s="96" t="s">
        <v>385</v>
      </c>
    </row>
    <row r="15" spans="1:11">
      <c r="A15" s="91" t="str">
        <f>"1.  "&amp;[2]OPEN!$P$4&amp;" General Fund Budget (Form 150, Line 21)"</f>
        <v>1.  2011-2012 General Fund Budget (Form 150, Line 21)</v>
      </c>
      <c r="I15" s="97">
        <f>'F150'!J67</f>
        <v>2396142</v>
      </c>
      <c r="K15" s="591"/>
    </row>
    <row r="16" spans="1:11">
      <c r="I16" s="98"/>
    </row>
    <row r="17" spans="1:9">
      <c r="A17" s="91" t="s">
        <v>386</v>
      </c>
      <c r="I17" s="98"/>
    </row>
    <row r="18" spans="1:9" ht="15" customHeight="1">
      <c r="A18" s="91" t="str">
        <f>"     a.  "&amp;[2]OPEN!$P$4&amp;" Tax Levy 1-1-"&amp;[2]OPEN!$S$5&amp;" to 6-30-"&amp;[2]OPEN!$S$5&amp;" (Form 110,Table I, Line 5)"</f>
        <v xml:space="preserve">     a.  2011-2012 Tax Levy 1-1-2012 to 6-30-2012 (Form 110,Table I, Line 5)</v>
      </c>
      <c r="I18" s="99">
        <f>'F110'!$I$48</f>
        <v>357979</v>
      </c>
    </row>
    <row r="19" spans="1:9" ht="15" customHeight="1">
      <c r="A19" s="91" t="str">
        <f>"     b.  "&amp;[2]OPEN!$P$4&amp;" Tax in Process (Form 110, Line 11) (General Fund only)"</f>
        <v xml:space="preserve">     b.  2011-2012 Tax in Process (Form 110, Line 11) (General Fund only)</v>
      </c>
      <c r="I19" s="99">
        <f>'F110'!$E$34</f>
        <v>11997</v>
      </c>
    </row>
    <row r="20" spans="1:9" ht="15" customHeight="1">
      <c r="A20" s="91" t="str">
        <f>"     c.  "&amp;[2]OPEN!$P$4&amp;" Delinquent Tax (Form 110, Line 12, General Fund) x .667"</f>
        <v xml:space="preserve">     c.  2011-2012 Delinquent Tax (Form 110, Line 12, General Fund) x .667</v>
      </c>
      <c r="I20" s="99">
        <f>'F110'!$E$38*0.667</f>
        <v>1840</v>
      </c>
    </row>
    <row r="21" spans="1:9" ht="15" customHeight="1">
      <c r="A21" s="91" t="str">
        <f>"     d.  "&amp;[2]OPEN!$P$4&amp;" Mineral Production Tax (General Fund)"</f>
        <v xml:space="preserve">     d.  2011-2012 Mineral Production Tax (General Fund)</v>
      </c>
      <c r="I21" s="100">
        <f>[2]C06!$E$33</f>
        <v>0</v>
      </c>
    </row>
    <row r="22" spans="1:9" ht="15" customHeight="1">
      <c r="A22" s="91" t="str">
        <f>"     e.  "&amp;[2]OPEN!$P$4&amp;" In Lieu of Tax Payments on IRB's (General Fund)"</f>
        <v xml:space="preserve">     e.  2011-2012 In Lieu of Tax Payments on IRB's (General Fund)</v>
      </c>
      <c r="I22" s="99">
        <f>[2]C06!$E$30</f>
        <v>0</v>
      </c>
    </row>
    <row r="23" spans="1:9" ht="15" customHeight="1">
      <c r="A23" s="91" t="str">
        <f>"     f.   "&amp;[2]OPEN!$P$4&amp;" Federal Impact Aid PL 382 (formerly PL 874)*"</f>
        <v xml:space="preserve">     f.   2011-2012 Federal Impact Aid PL 382 (formerly PL 874)*</v>
      </c>
      <c r="I23" s="99">
        <f>[2]C06!$E$40</f>
        <v>0</v>
      </c>
    </row>
    <row r="24" spans="1:9" ht="15" customHeight="1">
      <c r="A24" s="91" t="str">
        <f>"     g.  "&amp;[2]OPEN!$P$4&amp;" Pupil Tuition (General Fund only)"</f>
        <v xml:space="preserve">     g.  2011-2012 Pupil Tuition (General Fund only)</v>
      </c>
      <c r="I24" s="99">
        <f>[2]C06!$E$20+[2]C06!$E$21+[2]C06!$E$22</f>
        <v>0</v>
      </c>
    </row>
    <row r="25" spans="1:9" ht="15" customHeight="1">
      <c r="A25" s="91" t="str">
        <f>"     h.  6-30-"&amp;[2]OPEN!$Q$5&amp;" Unencumbered Cash Balance (General Fund)"</f>
        <v xml:space="preserve">     h.  6-30-2011 Unencumbered Cash Balance (General Fund)</v>
      </c>
      <c r="I25" s="97">
        <f>[2]C06!$E$9</f>
        <v>42</v>
      </c>
    </row>
    <row r="26" spans="1:9" ht="15" customHeight="1">
      <c r="A26" s="91" t="str">
        <f>"     i.   "&amp;[2]OPEN!$P$4&amp;" Special Education State Aid"</f>
        <v xml:space="preserve">     i.   2011-2012 Special Education State Aid</v>
      </c>
      <c r="I26" s="100">
        <f>'F150'!$E$52</f>
        <v>321853</v>
      </c>
    </row>
    <row r="27" spans="1:9" ht="15" customHeight="1">
      <c r="A27" s="591" t="s">
        <v>500</v>
      </c>
      <c r="I27" s="100">
        <f>[2]C06!$E$42</f>
        <v>0</v>
      </c>
    </row>
    <row r="28" spans="1:9" s="529" customFormat="1">
      <c r="I28" s="530"/>
    </row>
    <row r="29" spans="1:9">
      <c r="A29" s="591" t="s">
        <v>582</v>
      </c>
      <c r="I29" s="97">
        <f>SUM(I18:I27)</f>
        <v>693711</v>
      </c>
    </row>
    <row r="30" spans="1:9">
      <c r="I30" s="98"/>
    </row>
    <row r="31" spans="1:9">
      <c r="I31" s="98"/>
    </row>
    <row r="32" spans="1:9">
      <c r="A32" s="91" t="str">
        <f>"4.  "&amp;[2]OPEN!$P$4&amp;" Estimated General State Aid (Line 1 - Line 3; if negative, insert 0)"</f>
        <v>4.  2011-2012 Estimated General State Aid (Line 1 - Line 3; if negative, insert 0)</v>
      </c>
      <c r="I32" s="97">
        <f>IF(I15-I29&lt;0,0,I15-I29)</f>
        <v>1702431</v>
      </c>
    </row>
    <row r="37" spans="1:1">
      <c r="A37" s="91" t="str">
        <f>"*ONLY deduct 70% of the estimated "&amp;[2]OPEN!$P$4&amp;" P.L. 382 receipts .  The 30% portion"</f>
        <v>*ONLY deduct 70% of the estimated 2011-2012 P.L. 382 receipts .  The 30% portion</v>
      </c>
    </row>
    <row r="38" spans="1:1">
      <c r="A38" s="91" t="s">
        <v>387</v>
      </c>
    </row>
    <row r="39" spans="1:1">
      <c r="A39" s="91" t="s">
        <v>389</v>
      </c>
    </row>
    <row r="41" spans="1:1">
      <c r="A41" s="591" t="s">
        <v>571</v>
      </c>
    </row>
    <row r="42" spans="1:1">
      <c r="A42" s="591" t="s">
        <v>496</v>
      </c>
    </row>
    <row r="43" spans="1:1">
      <c r="A43" s="591" t="s">
        <v>497</v>
      </c>
    </row>
    <row r="44" spans="1:1">
      <c r="A44" s="591" t="s">
        <v>498</v>
      </c>
    </row>
    <row r="45" spans="1:1">
      <c r="A45" s="591" t="s">
        <v>499</v>
      </c>
    </row>
    <row r="53" spans="1:9">
      <c r="A53" s="613"/>
    </row>
    <row r="54" spans="1:9">
      <c r="B54" s="623"/>
    </row>
    <row r="55" spans="1:9">
      <c r="A55" s="622"/>
      <c r="B55" s="622"/>
    </row>
    <row r="56" spans="1:9">
      <c r="A56" s="640"/>
      <c r="B56" s="621"/>
      <c r="D56" s="591"/>
      <c r="I56" s="92"/>
    </row>
    <row r="57" spans="1:9">
      <c r="A57" s="640"/>
      <c r="B57" s="621"/>
      <c r="I57" s="92"/>
    </row>
    <row r="58" spans="1:9">
      <c r="A58" s="640"/>
      <c r="B58" s="621"/>
    </row>
    <row r="59" spans="1:9">
      <c r="A59" s="640"/>
      <c r="B59" s="621"/>
    </row>
    <row r="60" spans="1:9">
      <c r="A60" s="640"/>
      <c r="B60" s="621"/>
    </row>
    <row r="61" spans="1:9">
      <c r="A61" s="640"/>
      <c r="B61" s="621"/>
    </row>
    <row r="62" spans="1:9">
      <c r="A62" s="640"/>
      <c r="B62" s="621"/>
    </row>
    <row r="63" spans="1:9">
      <c r="A63" s="640"/>
      <c r="B63" s="621"/>
    </row>
    <row r="64" spans="1:9">
      <c r="A64" s="640"/>
      <c r="B64" s="621"/>
    </row>
    <row r="65" spans="1:2">
      <c r="A65" s="640"/>
      <c r="B65" s="621"/>
    </row>
    <row r="66" spans="1:2">
      <c r="A66" s="640"/>
      <c r="B66" s="637"/>
    </row>
    <row r="67" spans="1:2">
      <c r="A67" s="640"/>
      <c r="B67" s="637"/>
    </row>
    <row r="68" spans="1:2">
      <c r="A68" s="640"/>
      <c r="B68" s="637"/>
    </row>
    <row r="69" spans="1:2">
      <c r="A69" s="640"/>
      <c r="B69" s="621"/>
    </row>
    <row r="70" spans="1:2">
      <c r="A70" s="640"/>
      <c r="B70" s="621"/>
    </row>
    <row r="71" spans="1:2">
      <c r="A71" s="640"/>
      <c r="B71" s="621"/>
    </row>
    <row r="72" spans="1:2">
      <c r="A72" s="640"/>
      <c r="B72" s="621"/>
    </row>
    <row r="73" spans="1:2">
      <c r="A73" s="640"/>
      <c r="B73" s="621"/>
    </row>
    <row r="74" spans="1:2">
      <c r="A74" s="640"/>
      <c r="B74" s="621"/>
    </row>
    <row r="75" spans="1:2">
      <c r="A75" s="640"/>
      <c r="B75" s="621"/>
    </row>
    <row r="76" spans="1:2">
      <c r="A76" s="640"/>
      <c r="B76" s="621"/>
    </row>
    <row r="77" spans="1:2">
      <c r="A77" s="640"/>
      <c r="B77" s="621"/>
    </row>
    <row r="78" spans="1:2">
      <c r="A78" s="640"/>
      <c r="B78" s="621"/>
    </row>
    <row r="79" spans="1:2">
      <c r="A79" s="640"/>
      <c r="B79" s="637"/>
    </row>
    <row r="80" spans="1:2">
      <c r="A80" s="640"/>
      <c r="B80" s="621"/>
    </row>
    <row r="81" spans="1:2">
      <c r="A81" s="640"/>
      <c r="B81" s="621"/>
    </row>
    <row r="82" spans="1:2">
      <c r="A82" s="640"/>
      <c r="B82" s="621"/>
    </row>
    <row r="83" spans="1:2">
      <c r="A83" s="640"/>
      <c r="B83" s="621"/>
    </row>
    <row r="84" spans="1:2">
      <c r="A84" s="640"/>
      <c r="B84" s="621"/>
    </row>
    <row r="85" spans="1:2">
      <c r="A85" s="640"/>
      <c r="B85" s="621"/>
    </row>
    <row r="86" spans="1:2">
      <c r="A86" s="640"/>
      <c r="B86" s="621"/>
    </row>
    <row r="87" spans="1:2">
      <c r="A87" s="640"/>
      <c r="B87" s="621"/>
    </row>
    <row r="88" spans="1:2">
      <c r="A88" s="640"/>
      <c r="B88" s="621"/>
    </row>
    <row r="89" spans="1:2">
      <c r="A89" s="640"/>
      <c r="B89" s="621"/>
    </row>
    <row r="90" spans="1:2">
      <c r="A90" s="640"/>
      <c r="B90" s="621"/>
    </row>
    <row r="91" spans="1:2">
      <c r="A91" s="640"/>
      <c r="B91" s="621"/>
    </row>
    <row r="92" spans="1:2">
      <c r="A92" s="640"/>
      <c r="B92" s="621"/>
    </row>
    <row r="93" spans="1:2">
      <c r="A93" s="640"/>
      <c r="B93" s="621"/>
    </row>
    <row r="94" spans="1:2">
      <c r="A94" s="640"/>
      <c r="B94" s="621"/>
    </row>
    <row r="95" spans="1:2">
      <c r="A95" s="640"/>
      <c r="B95" s="621"/>
    </row>
    <row r="96" spans="1:2">
      <c r="A96" s="640"/>
      <c r="B96" s="621"/>
    </row>
    <row r="97" spans="1:2">
      <c r="A97" s="640"/>
      <c r="B97" s="621"/>
    </row>
    <row r="98" spans="1:2">
      <c r="A98" s="640"/>
      <c r="B98" s="621"/>
    </row>
    <row r="99" spans="1:2">
      <c r="A99" s="640"/>
      <c r="B99" s="621"/>
    </row>
    <row r="100" spans="1:2">
      <c r="A100" s="640"/>
      <c r="B100" s="621"/>
    </row>
    <row r="101" spans="1:2">
      <c r="A101" s="640"/>
      <c r="B101" s="621"/>
    </row>
    <row r="102" spans="1:2">
      <c r="A102" s="640"/>
      <c r="B102" s="621"/>
    </row>
    <row r="103" spans="1:2">
      <c r="A103" s="640"/>
      <c r="B103" s="621"/>
    </row>
    <row r="104" spans="1:2">
      <c r="A104" s="640"/>
      <c r="B104" s="621"/>
    </row>
    <row r="105" spans="1:2">
      <c r="A105" s="640"/>
      <c r="B105" s="621"/>
    </row>
    <row r="106" spans="1:2">
      <c r="A106" s="640"/>
      <c r="B106" s="621"/>
    </row>
    <row r="107" spans="1:2">
      <c r="A107" s="640"/>
      <c r="B107" s="621"/>
    </row>
    <row r="108" spans="1:2">
      <c r="A108" s="640"/>
      <c r="B108" s="621"/>
    </row>
    <row r="109" spans="1:2">
      <c r="A109" s="640"/>
      <c r="B109" s="621"/>
    </row>
    <row r="110" spans="1:2">
      <c r="A110" s="640"/>
      <c r="B110" s="621"/>
    </row>
    <row r="111" spans="1:2">
      <c r="A111" s="640"/>
      <c r="B111" s="621"/>
    </row>
    <row r="112" spans="1:2">
      <c r="A112" s="640"/>
      <c r="B112" s="621"/>
    </row>
    <row r="113" spans="1:2">
      <c r="A113" s="640"/>
      <c r="B113" s="621"/>
    </row>
    <row r="114" spans="1:2">
      <c r="A114" s="640"/>
      <c r="B114" s="621"/>
    </row>
    <row r="115" spans="1:2">
      <c r="A115" s="640"/>
      <c r="B115" s="621"/>
    </row>
    <row r="116" spans="1:2">
      <c r="A116" s="640"/>
      <c r="B116" s="621"/>
    </row>
    <row r="117" spans="1:2">
      <c r="A117" s="640"/>
      <c r="B117" s="621"/>
    </row>
    <row r="118" spans="1:2">
      <c r="A118" s="640"/>
      <c r="B118" s="621"/>
    </row>
    <row r="119" spans="1:2">
      <c r="A119" s="640"/>
      <c r="B119" s="621"/>
    </row>
    <row r="120" spans="1:2">
      <c r="A120" s="640"/>
      <c r="B120" s="621"/>
    </row>
    <row r="121" spans="1:2">
      <c r="A121" s="640"/>
      <c r="B121" s="621"/>
    </row>
    <row r="122" spans="1:2">
      <c r="A122" s="640"/>
      <c r="B122" s="621"/>
    </row>
    <row r="123" spans="1:2">
      <c r="A123" s="640"/>
      <c r="B123" s="621"/>
    </row>
    <row r="124" spans="1:2">
      <c r="A124" s="640"/>
      <c r="B124" s="621"/>
    </row>
    <row r="125" spans="1:2">
      <c r="A125" s="640"/>
      <c r="B125" s="621"/>
    </row>
    <row r="126" spans="1:2">
      <c r="A126" s="640"/>
      <c r="B126" s="621"/>
    </row>
    <row r="127" spans="1:2">
      <c r="A127" s="640"/>
      <c r="B127" s="621"/>
    </row>
    <row r="128" spans="1:2">
      <c r="A128" s="640"/>
      <c r="B128" s="621"/>
    </row>
    <row r="129" spans="1:2">
      <c r="A129" s="640"/>
      <c r="B129" s="621"/>
    </row>
    <row r="130" spans="1:2">
      <c r="A130" s="640"/>
      <c r="B130" s="621"/>
    </row>
    <row r="131" spans="1:2">
      <c r="A131" s="640"/>
      <c r="B131" s="621"/>
    </row>
    <row r="132" spans="1:2">
      <c r="A132" s="640"/>
      <c r="B132" s="621"/>
    </row>
    <row r="133" spans="1:2">
      <c r="A133" s="640"/>
      <c r="B133" s="621"/>
    </row>
    <row r="134" spans="1:2">
      <c r="A134" s="640"/>
      <c r="B134" s="621"/>
    </row>
    <row r="135" spans="1:2">
      <c r="A135" s="640"/>
      <c r="B135" s="621"/>
    </row>
    <row r="136" spans="1:2">
      <c r="A136" s="640"/>
      <c r="B136" s="621"/>
    </row>
    <row r="137" spans="1:2">
      <c r="A137" s="640"/>
      <c r="B137" s="621"/>
    </row>
    <row r="138" spans="1:2">
      <c r="A138" s="640"/>
      <c r="B138" s="621"/>
    </row>
    <row r="139" spans="1:2">
      <c r="A139" s="640"/>
      <c r="B139" s="621"/>
    </row>
    <row r="140" spans="1:2">
      <c r="A140" s="640"/>
      <c r="B140" s="621"/>
    </row>
    <row r="141" spans="1:2">
      <c r="A141" s="640"/>
      <c r="B141" s="621"/>
    </row>
    <row r="142" spans="1:2">
      <c r="A142" s="640"/>
      <c r="B142" s="621"/>
    </row>
    <row r="143" spans="1:2">
      <c r="A143" s="640"/>
      <c r="B143" s="621"/>
    </row>
    <row r="144" spans="1:2">
      <c r="A144" s="640"/>
      <c r="B144" s="621"/>
    </row>
    <row r="145" spans="1:2">
      <c r="A145" s="640"/>
      <c r="B145" s="621"/>
    </row>
    <row r="146" spans="1:2">
      <c r="A146" s="640"/>
      <c r="B146" s="621"/>
    </row>
    <row r="147" spans="1:2">
      <c r="A147" s="640"/>
      <c r="B147" s="621"/>
    </row>
    <row r="148" spans="1:2">
      <c r="A148" s="640"/>
      <c r="B148" s="621"/>
    </row>
    <row r="149" spans="1:2">
      <c r="A149" s="640"/>
      <c r="B149" s="621"/>
    </row>
    <row r="150" spans="1:2">
      <c r="A150" s="640"/>
      <c r="B150" s="621"/>
    </row>
    <row r="151" spans="1:2">
      <c r="A151" s="640"/>
      <c r="B151" s="621"/>
    </row>
    <row r="152" spans="1:2">
      <c r="A152" s="640"/>
      <c r="B152" s="621"/>
    </row>
    <row r="153" spans="1:2">
      <c r="A153" s="640"/>
      <c r="B153" s="621"/>
    </row>
    <row r="154" spans="1:2">
      <c r="A154" s="640"/>
      <c r="B154" s="621"/>
    </row>
    <row r="155" spans="1:2">
      <c r="A155" s="640"/>
      <c r="B155" s="621"/>
    </row>
    <row r="156" spans="1:2">
      <c r="A156" s="640"/>
      <c r="B156" s="621"/>
    </row>
    <row r="157" spans="1:2">
      <c r="A157" s="640"/>
      <c r="B157" s="621"/>
    </row>
    <row r="158" spans="1:2">
      <c r="A158" s="640"/>
      <c r="B158" s="621"/>
    </row>
    <row r="159" spans="1:2">
      <c r="A159" s="640"/>
      <c r="B159" s="621"/>
    </row>
    <row r="160" spans="1:2">
      <c r="A160" s="640"/>
      <c r="B160" s="621"/>
    </row>
    <row r="161" spans="1:2">
      <c r="A161" s="640"/>
      <c r="B161" s="621"/>
    </row>
    <row r="162" spans="1:2">
      <c r="A162" s="640"/>
      <c r="B162" s="621"/>
    </row>
    <row r="163" spans="1:2">
      <c r="A163" s="640"/>
      <c r="B163" s="621"/>
    </row>
    <row r="164" spans="1:2">
      <c r="A164" s="640"/>
      <c r="B164" s="621"/>
    </row>
    <row r="165" spans="1:2">
      <c r="A165" s="640"/>
      <c r="B165" s="621"/>
    </row>
    <row r="166" spans="1:2">
      <c r="A166" s="640"/>
      <c r="B166" s="621"/>
    </row>
    <row r="167" spans="1:2">
      <c r="A167" s="640"/>
      <c r="B167" s="621"/>
    </row>
    <row r="168" spans="1:2">
      <c r="A168" s="640"/>
      <c r="B168" s="621"/>
    </row>
    <row r="169" spans="1:2">
      <c r="A169" s="640"/>
      <c r="B169" s="621"/>
    </row>
    <row r="170" spans="1:2">
      <c r="A170" s="640"/>
      <c r="B170" s="621"/>
    </row>
    <row r="171" spans="1:2">
      <c r="A171" s="640"/>
      <c r="B171" s="621"/>
    </row>
    <row r="172" spans="1:2">
      <c r="A172" s="640"/>
      <c r="B172" s="621"/>
    </row>
    <row r="173" spans="1:2">
      <c r="A173" s="640"/>
      <c r="B173" s="621"/>
    </row>
    <row r="174" spans="1:2">
      <c r="A174" s="640"/>
      <c r="B174" s="621"/>
    </row>
    <row r="175" spans="1:2">
      <c r="A175" s="640"/>
      <c r="B175" s="621"/>
    </row>
    <row r="176" spans="1:2">
      <c r="A176" s="640"/>
      <c r="B176" s="621"/>
    </row>
    <row r="177" spans="1:2">
      <c r="A177" s="640"/>
      <c r="B177" s="621"/>
    </row>
    <row r="178" spans="1:2">
      <c r="A178" s="640"/>
      <c r="B178" s="621"/>
    </row>
    <row r="179" spans="1:2">
      <c r="A179" s="640"/>
      <c r="B179" s="621"/>
    </row>
    <row r="180" spans="1:2">
      <c r="A180" s="640"/>
      <c r="B180" s="621"/>
    </row>
    <row r="181" spans="1:2">
      <c r="A181" s="640"/>
      <c r="B181" s="621"/>
    </row>
    <row r="182" spans="1:2">
      <c r="A182" s="640"/>
      <c r="B182" s="621"/>
    </row>
    <row r="183" spans="1:2">
      <c r="A183" s="640"/>
      <c r="B183" s="621"/>
    </row>
    <row r="184" spans="1:2">
      <c r="A184" s="640"/>
      <c r="B184" s="621"/>
    </row>
    <row r="185" spans="1:2">
      <c r="A185" s="640"/>
      <c r="B185" s="621"/>
    </row>
    <row r="186" spans="1:2">
      <c r="A186" s="640"/>
      <c r="B186" s="621"/>
    </row>
    <row r="187" spans="1:2">
      <c r="A187" s="640"/>
      <c r="B187" s="621"/>
    </row>
    <row r="188" spans="1:2">
      <c r="A188" s="640"/>
      <c r="B188" s="621"/>
    </row>
    <row r="189" spans="1:2">
      <c r="A189" s="640"/>
      <c r="B189" s="621"/>
    </row>
    <row r="190" spans="1:2">
      <c r="A190" s="640"/>
      <c r="B190" s="621"/>
    </row>
    <row r="191" spans="1:2">
      <c r="A191" s="640"/>
      <c r="B191" s="621"/>
    </row>
    <row r="192" spans="1:2">
      <c r="A192" s="640"/>
      <c r="B192" s="621"/>
    </row>
    <row r="193" spans="1:2">
      <c r="A193" s="640"/>
      <c r="B193" s="621"/>
    </row>
    <row r="194" spans="1:2">
      <c r="A194" s="640"/>
      <c r="B194" s="621"/>
    </row>
    <row r="195" spans="1:2">
      <c r="A195" s="640"/>
      <c r="B195" s="621"/>
    </row>
    <row r="196" spans="1:2">
      <c r="A196" s="640"/>
      <c r="B196" s="621"/>
    </row>
    <row r="197" spans="1:2">
      <c r="A197" s="640"/>
      <c r="B197" s="621"/>
    </row>
    <row r="198" spans="1:2">
      <c r="A198" s="640"/>
      <c r="B198" s="621"/>
    </row>
    <row r="199" spans="1:2">
      <c r="A199" s="640"/>
      <c r="B199" s="621"/>
    </row>
    <row r="200" spans="1:2">
      <c r="A200" s="640"/>
      <c r="B200" s="621"/>
    </row>
    <row r="201" spans="1:2">
      <c r="A201" s="640"/>
      <c r="B201" s="621"/>
    </row>
    <row r="202" spans="1:2">
      <c r="A202" s="640"/>
      <c r="B202" s="621"/>
    </row>
    <row r="203" spans="1:2">
      <c r="A203" s="640"/>
      <c r="B203" s="621"/>
    </row>
    <row r="204" spans="1:2">
      <c r="A204" s="640"/>
      <c r="B204" s="621"/>
    </row>
    <row r="205" spans="1:2">
      <c r="A205" s="640"/>
      <c r="B205" s="621"/>
    </row>
    <row r="206" spans="1:2">
      <c r="A206" s="640"/>
      <c r="B206" s="621"/>
    </row>
    <row r="207" spans="1:2">
      <c r="A207" s="640"/>
      <c r="B207" s="621"/>
    </row>
    <row r="208" spans="1:2">
      <c r="A208" s="640"/>
      <c r="B208" s="621"/>
    </row>
    <row r="209" spans="1:2">
      <c r="A209" s="640"/>
      <c r="B209" s="621"/>
    </row>
    <row r="210" spans="1:2">
      <c r="A210" s="640"/>
      <c r="B210" s="621"/>
    </row>
    <row r="211" spans="1:2">
      <c r="A211" s="640"/>
      <c r="B211" s="621"/>
    </row>
    <row r="212" spans="1:2">
      <c r="A212" s="640"/>
      <c r="B212" s="621"/>
    </row>
    <row r="213" spans="1:2">
      <c r="A213" s="640"/>
      <c r="B213" s="621"/>
    </row>
    <row r="214" spans="1:2">
      <c r="A214" s="640"/>
      <c r="B214" s="621"/>
    </row>
    <row r="215" spans="1:2">
      <c r="A215" s="640"/>
      <c r="B215" s="621"/>
    </row>
    <row r="216" spans="1:2">
      <c r="A216" s="640"/>
      <c r="B216" s="621"/>
    </row>
    <row r="217" spans="1:2">
      <c r="A217" s="640"/>
      <c r="B217" s="621"/>
    </row>
    <row r="218" spans="1:2">
      <c r="A218" s="640"/>
      <c r="B218" s="621"/>
    </row>
    <row r="219" spans="1:2">
      <c r="A219" s="640"/>
      <c r="B219" s="621"/>
    </row>
    <row r="220" spans="1:2">
      <c r="A220" s="640"/>
      <c r="B220" s="621"/>
    </row>
    <row r="221" spans="1:2">
      <c r="A221" s="640"/>
      <c r="B221" s="621"/>
    </row>
    <row r="222" spans="1:2">
      <c r="A222" s="640"/>
      <c r="B222" s="621"/>
    </row>
    <row r="223" spans="1:2">
      <c r="A223" s="640"/>
      <c r="B223" s="621"/>
    </row>
    <row r="224" spans="1:2">
      <c r="A224" s="640"/>
      <c r="B224" s="621"/>
    </row>
    <row r="225" spans="1:2">
      <c r="A225" s="640"/>
      <c r="B225" s="621"/>
    </row>
    <row r="226" spans="1:2">
      <c r="A226" s="640"/>
      <c r="B226" s="621"/>
    </row>
    <row r="227" spans="1:2">
      <c r="A227" s="640"/>
      <c r="B227" s="621"/>
    </row>
    <row r="228" spans="1:2">
      <c r="A228" s="640"/>
      <c r="B228" s="621"/>
    </row>
    <row r="229" spans="1:2">
      <c r="A229" s="640"/>
      <c r="B229" s="621"/>
    </row>
    <row r="230" spans="1:2">
      <c r="A230" s="640"/>
      <c r="B230" s="621"/>
    </row>
    <row r="231" spans="1:2">
      <c r="A231" s="640"/>
      <c r="B231" s="621"/>
    </row>
    <row r="232" spans="1:2">
      <c r="A232" s="640"/>
      <c r="B232" s="621"/>
    </row>
    <row r="233" spans="1:2">
      <c r="A233" s="640"/>
      <c r="B233" s="621"/>
    </row>
    <row r="234" spans="1:2">
      <c r="A234" s="640"/>
      <c r="B234" s="621"/>
    </row>
    <row r="235" spans="1:2">
      <c r="A235" s="640"/>
      <c r="B235" s="621"/>
    </row>
    <row r="236" spans="1:2">
      <c r="A236" s="640"/>
      <c r="B236" s="621"/>
    </row>
    <row r="237" spans="1:2">
      <c r="A237" s="640"/>
      <c r="B237" s="621"/>
    </row>
    <row r="238" spans="1:2">
      <c r="A238" s="640"/>
      <c r="B238" s="621"/>
    </row>
    <row r="239" spans="1:2">
      <c r="A239" s="640"/>
      <c r="B239" s="621"/>
    </row>
    <row r="240" spans="1:2">
      <c r="A240" s="640"/>
      <c r="B240" s="621"/>
    </row>
    <row r="241" spans="1:2">
      <c r="A241" s="640"/>
      <c r="B241" s="621"/>
    </row>
    <row r="242" spans="1:2">
      <c r="A242" s="640"/>
      <c r="B242" s="621"/>
    </row>
    <row r="243" spans="1:2">
      <c r="A243" s="640"/>
      <c r="B243" s="621"/>
    </row>
    <row r="244" spans="1:2">
      <c r="A244" s="640"/>
      <c r="B244" s="621"/>
    </row>
    <row r="245" spans="1:2">
      <c r="A245" s="640"/>
      <c r="B245" s="621"/>
    </row>
    <row r="246" spans="1:2">
      <c r="A246" s="640"/>
      <c r="B246" s="621"/>
    </row>
    <row r="247" spans="1:2">
      <c r="A247" s="640"/>
      <c r="B247" s="621"/>
    </row>
    <row r="248" spans="1:2">
      <c r="A248" s="640"/>
      <c r="B248" s="621"/>
    </row>
    <row r="249" spans="1:2">
      <c r="A249" s="640"/>
      <c r="B249" s="621"/>
    </row>
    <row r="250" spans="1:2">
      <c r="A250" s="640"/>
      <c r="B250" s="621"/>
    </row>
    <row r="251" spans="1:2">
      <c r="A251" s="640"/>
      <c r="B251" s="621"/>
    </row>
    <row r="252" spans="1:2">
      <c r="A252" s="640"/>
      <c r="B252" s="621"/>
    </row>
    <row r="253" spans="1:2">
      <c r="A253" s="640"/>
      <c r="B253" s="621"/>
    </row>
    <row r="254" spans="1:2">
      <c r="A254" s="640"/>
      <c r="B254" s="621"/>
    </row>
    <row r="255" spans="1:2">
      <c r="A255" s="640"/>
      <c r="B255" s="621"/>
    </row>
    <row r="256" spans="1:2">
      <c r="A256" s="640"/>
      <c r="B256" s="621"/>
    </row>
    <row r="257" spans="1:2">
      <c r="A257" s="640"/>
      <c r="B257" s="621"/>
    </row>
    <row r="258" spans="1:2">
      <c r="A258" s="640"/>
      <c r="B258" s="621"/>
    </row>
    <row r="259" spans="1:2">
      <c r="A259" s="640"/>
      <c r="B259" s="621"/>
    </row>
    <row r="260" spans="1:2">
      <c r="A260" s="640"/>
      <c r="B260" s="621"/>
    </row>
    <row r="261" spans="1:2">
      <c r="A261" s="640"/>
      <c r="B261" s="621"/>
    </row>
    <row r="262" spans="1:2">
      <c r="A262" s="640"/>
      <c r="B262" s="621"/>
    </row>
    <row r="263" spans="1:2">
      <c r="A263" s="640"/>
      <c r="B263" s="621"/>
    </row>
    <row r="264" spans="1:2">
      <c r="A264" s="640"/>
      <c r="B264" s="621"/>
    </row>
    <row r="265" spans="1:2">
      <c r="A265" s="640"/>
      <c r="B265" s="621"/>
    </row>
    <row r="266" spans="1:2">
      <c r="A266" s="640"/>
      <c r="B266" s="621"/>
    </row>
    <row r="267" spans="1:2">
      <c r="A267" s="640"/>
      <c r="B267" s="621"/>
    </row>
    <row r="268" spans="1:2">
      <c r="A268" s="640"/>
      <c r="B268" s="621"/>
    </row>
    <row r="269" spans="1:2">
      <c r="A269" s="640"/>
      <c r="B269" s="621"/>
    </row>
    <row r="270" spans="1:2">
      <c r="A270" s="640"/>
      <c r="B270" s="621"/>
    </row>
    <row r="271" spans="1:2">
      <c r="A271" s="640"/>
      <c r="B271" s="621"/>
    </row>
    <row r="272" spans="1:2">
      <c r="A272" s="640"/>
      <c r="B272" s="621"/>
    </row>
    <row r="273" spans="1:2">
      <c r="A273" s="640"/>
      <c r="B273" s="621"/>
    </row>
    <row r="274" spans="1:2">
      <c r="A274" s="640"/>
      <c r="B274" s="621"/>
    </row>
    <row r="275" spans="1:2">
      <c r="A275" s="640"/>
      <c r="B275" s="621"/>
    </row>
    <row r="276" spans="1:2">
      <c r="A276" s="640"/>
      <c r="B276" s="621"/>
    </row>
    <row r="277" spans="1:2">
      <c r="A277" s="640"/>
      <c r="B277" s="621"/>
    </row>
    <row r="278" spans="1:2">
      <c r="A278" s="640"/>
      <c r="B278" s="621"/>
    </row>
    <row r="279" spans="1:2">
      <c r="A279" s="640"/>
      <c r="B279" s="621"/>
    </row>
    <row r="280" spans="1:2">
      <c r="A280" s="640"/>
      <c r="B280" s="621"/>
    </row>
    <row r="281" spans="1:2">
      <c r="A281" s="640"/>
      <c r="B281" s="621"/>
    </row>
    <row r="282" spans="1:2">
      <c r="A282" s="640"/>
      <c r="B282" s="621"/>
    </row>
    <row r="283" spans="1:2">
      <c r="A283" s="640"/>
      <c r="B283" s="621"/>
    </row>
    <row r="284" spans="1:2">
      <c r="A284" s="640"/>
      <c r="B284" s="621"/>
    </row>
    <row r="285" spans="1:2">
      <c r="A285" s="640"/>
      <c r="B285" s="621"/>
    </row>
    <row r="286" spans="1:2">
      <c r="A286" s="640"/>
      <c r="B286" s="621"/>
    </row>
    <row r="287" spans="1:2">
      <c r="A287" s="640"/>
      <c r="B287" s="621"/>
    </row>
    <row r="288" spans="1:2">
      <c r="A288" s="640"/>
      <c r="B288" s="621"/>
    </row>
    <row r="289" spans="1:2">
      <c r="A289" s="640"/>
      <c r="B289" s="621"/>
    </row>
    <row r="290" spans="1:2">
      <c r="A290" s="640"/>
      <c r="B290" s="621"/>
    </row>
    <row r="291" spans="1:2">
      <c r="A291" s="640"/>
      <c r="B291" s="621"/>
    </row>
    <row r="292" spans="1:2">
      <c r="A292" s="640"/>
      <c r="B292" s="621"/>
    </row>
    <row r="293" spans="1:2">
      <c r="A293" s="640"/>
      <c r="B293" s="621"/>
    </row>
    <row r="294" spans="1:2">
      <c r="A294" s="640"/>
      <c r="B294" s="621"/>
    </row>
    <row r="295" spans="1:2">
      <c r="A295" s="640"/>
      <c r="B295" s="621"/>
    </row>
    <row r="296" spans="1:2">
      <c r="A296" s="640"/>
      <c r="B296" s="621"/>
    </row>
    <row r="297" spans="1:2">
      <c r="A297" s="640"/>
      <c r="B297" s="621"/>
    </row>
    <row r="298" spans="1:2">
      <c r="A298" s="640"/>
      <c r="B298" s="621"/>
    </row>
    <row r="299" spans="1:2">
      <c r="A299" s="640"/>
      <c r="B299" s="621"/>
    </row>
    <row r="300" spans="1:2">
      <c r="A300" s="640"/>
      <c r="B300" s="621"/>
    </row>
    <row r="301" spans="1:2">
      <c r="A301" s="640"/>
      <c r="B301" s="621"/>
    </row>
    <row r="302" spans="1:2">
      <c r="A302" s="640"/>
      <c r="B302" s="621"/>
    </row>
    <row r="303" spans="1:2">
      <c r="A303" s="640"/>
      <c r="B303" s="621"/>
    </row>
    <row r="304" spans="1:2">
      <c r="A304" s="640"/>
      <c r="B304" s="621"/>
    </row>
    <row r="305" spans="1:2">
      <c r="A305" s="640"/>
      <c r="B305" s="621"/>
    </row>
    <row r="306" spans="1:2">
      <c r="A306" s="640"/>
      <c r="B306" s="621"/>
    </row>
    <row r="307" spans="1:2">
      <c r="A307" s="640"/>
      <c r="B307" s="621"/>
    </row>
    <row r="308" spans="1:2">
      <c r="A308" s="640"/>
      <c r="B308" s="621"/>
    </row>
    <row r="309" spans="1:2">
      <c r="A309" s="640"/>
      <c r="B309" s="621"/>
    </row>
    <row r="310" spans="1:2">
      <c r="A310" s="640"/>
      <c r="B310" s="621"/>
    </row>
    <row r="311" spans="1:2">
      <c r="A311" s="640"/>
      <c r="B311" s="621"/>
    </row>
    <row r="312" spans="1:2">
      <c r="A312" s="640"/>
      <c r="B312" s="621"/>
    </row>
    <row r="313" spans="1:2">
      <c r="A313" s="640"/>
      <c r="B313" s="621"/>
    </row>
    <row r="314" spans="1:2">
      <c r="A314" s="640"/>
      <c r="B314" s="621"/>
    </row>
    <row r="315" spans="1:2">
      <c r="A315" s="640"/>
      <c r="B315" s="621"/>
    </row>
    <row r="316" spans="1:2">
      <c r="A316" s="640"/>
      <c r="B316" s="621"/>
    </row>
    <row r="317" spans="1:2">
      <c r="A317" s="640"/>
      <c r="B317" s="621"/>
    </row>
    <row r="318" spans="1:2">
      <c r="A318" s="640"/>
      <c r="B318" s="621"/>
    </row>
    <row r="319" spans="1:2">
      <c r="A319" s="640"/>
      <c r="B319" s="621"/>
    </row>
    <row r="320" spans="1:2">
      <c r="A320" s="640"/>
      <c r="B320" s="621"/>
    </row>
    <row r="321" spans="1:2">
      <c r="A321" s="640"/>
      <c r="B321" s="621"/>
    </row>
    <row r="322" spans="1:2">
      <c r="A322" s="640"/>
      <c r="B322" s="621"/>
    </row>
    <row r="323" spans="1:2">
      <c r="A323" s="640"/>
      <c r="B323" s="621"/>
    </row>
    <row r="324" spans="1:2">
      <c r="A324" s="640"/>
      <c r="B324" s="621"/>
    </row>
    <row r="325" spans="1:2">
      <c r="A325" s="640"/>
      <c r="B325" s="621"/>
    </row>
    <row r="326" spans="1:2">
      <c r="A326" s="640"/>
      <c r="B326" s="621"/>
    </row>
    <row r="327" spans="1:2">
      <c r="A327" s="640"/>
      <c r="B327" s="621"/>
    </row>
    <row r="328" spans="1:2">
      <c r="A328" s="640"/>
      <c r="B328" s="621"/>
    </row>
    <row r="329" spans="1:2">
      <c r="A329" s="640"/>
      <c r="B329" s="621"/>
    </row>
    <row r="330" spans="1:2">
      <c r="A330" s="640"/>
      <c r="B330" s="621"/>
    </row>
    <row r="331" spans="1:2">
      <c r="A331" s="640"/>
      <c r="B331" s="621"/>
    </row>
    <row r="332" spans="1:2">
      <c r="A332" s="640"/>
      <c r="B332" s="621"/>
    </row>
    <row r="333" spans="1:2">
      <c r="A333" s="640"/>
      <c r="B333" s="621"/>
    </row>
    <row r="334" spans="1:2">
      <c r="A334" s="640"/>
      <c r="B334" s="621"/>
    </row>
    <row r="335" spans="1:2">
      <c r="A335" s="640"/>
      <c r="B335" s="621"/>
    </row>
    <row r="336" spans="1:2">
      <c r="A336" s="640"/>
      <c r="B336" s="621"/>
    </row>
    <row r="337" spans="1:2">
      <c r="A337" s="640"/>
      <c r="B337" s="621"/>
    </row>
    <row r="338" spans="1:2">
      <c r="A338" s="640"/>
      <c r="B338" s="641"/>
    </row>
    <row r="339" spans="1:2">
      <c r="A339" s="640"/>
      <c r="B339" s="641"/>
    </row>
    <row r="340" spans="1:2">
      <c r="A340" s="640"/>
      <c r="B340" s="641"/>
    </row>
    <row r="341" spans="1:2">
      <c r="A341" s="640"/>
      <c r="B341" s="641"/>
    </row>
    <row r="342" spans="1:2">
      <c r="A342" s="640"/>
      <c r="B342" s="641"/>
    </row>
    <row r="343" spans="1:2">
      <c r="A343" s="640"/>
      <c r="B343" s="641"/>
    </row>
    <row r="344" spans="1:2">
      <c r="A344" s="640"/>
      <c r="B344" s="641"/>
    </row>
    <row r="345" spans="1:2">
      <c r="A345"/>
    </row>
    <row r="346" spans="1:2">
      <c r="A346"/>
    </row>
    <row r="347" spans="1:2">
      <c r="A347"/>
    </row>
  </sheetData>
  <sheetProtection password="CC51" sheet="1" objects="1" scenarios="1"/>
  <phoneticPr fontId="14" type="noConversion"/>
  <hyperlinks>
    <hyperlink ref="K1" location="Contents!A1" display="Return to Contents page"/>
  </hyperlinks>
  <printOptions horizontalCentered="1"/>
  <pageMargins left="0.25" right="0.25" top="1" bottom="1" header="0.5" footer="0.5"/>
  <pageSetup scale="95" orientation="portrait" blackAndWhite="1" horizontalDpi="1200" verticalDpi="1200"/>
  <headerFooter alignWithMargins="0">
    <oddFooter>&amp;L&amp;"Geneva,Regular"&amp;D     &amp;T &amp;CForm 148</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45"/>
  <sheetViews>
    <sheetView zoomScaleNormal="100" workbookViewId="0">
      <selection activeCell="H23" sqref="H23"/>
    </sheetView>
  </sheetViews>
  <sheetFormatPr defaultRowHeight="12.75"/>
  <cols>
    <col min="1" max="1" width="2.42578125" style="652" customWidth="1"/>
    <col min="2" max="2" width="24.28515625" style="652" customWidth="1"/>
    <col min="3" max="3" width="16.42578125" style="652" customWidth="1"/>
    <col min="4" max="4" width="16.7109375" style="652" customWidth="1"/>
    <col min="5" max="5" width="16" style="652" customWidth="1"/>
    <col min="6" max="6" width="16.7109375" style="652" customWidth="1"/>
    <col min="7" max="7" width="3.42578125" style="652" customWidth="1"/>
    <col min="8" max="8" width="21.28515625" style="652" customWidth="1"/>
    <col min="9" max="16384" width="9.140625" style="652"/>
  </cols>
  <sheetData>
    <row r="1" spans="1:8">
      <c r="C1" s="676" t="s">
        <v>361</v>
      </c>
      <c r="D1" s="677">
        <f>[2]OPEN!$B$4</f>
        <v>395</v>
      </c>
      <c r="H1" s="480" t="s">
        <v>268</v>
      </c>
    </row>
    <row r="3" spans="1:8" ht="13.5" thickBot="1">
      <c r="A3" s="792" t="s">
        <v>583</v>
      </c>
      <c r="B3" s="792"/>
      <c r="C3" s="792"/>
      <c r="D3" s="792"/>
      <c r="E3" s="792"/>
      <c r="F3" s="792"/>
      <c r="G3" s="711"/>
    </row>
    <row r="5" spans="1:8">
      <c r="A5" s="653" t="s">
        <v>517</v>
      </c>
      <c r="B5" s="654" t="s">
        <v>584</v>
      </c>
    </row>
    <row r="6" spans="1:8">
      <c r="B6" s="654" t="s">
        <v>585</v>
      </c>
    </row>
    <row r="8" spans="1:8">
      <c r="B8" s="790" t="s">
        <v>284</v>
      </c>
      <c r="C8" s="655" t="s">
        <v>586</v>
      </c>
      <c r="D8" s="656" t="s">
        <v>587</v>
      </c>
      <c r="E8" s="656" t="s">
        <v>588</v>
      </c>
      <c r="F8" s="656" t="s">
        <v>653</v>
      </c>
      <c r="G8" s="712"/>
    </row>
    <row r="9" spans="1:8" ht="29.25" customHeight="1">
      <c r="B9" s="791"/>
      <c r="C9" s="657" t="s">
        <v>589</v>
      </c>
      <c r="D9" s="658" t="s">
        <v>590</v>
      </c>
      <c r="E9" s="657" t="s">
        <v>591</v>
      </c>
      <c r="F9" s="782" t="s">
        <v>562</v>
      </c>
      <c r="G9" s="713"/>
    </row>
    <row r="10" spans="1:8" ht="27" customHeight="1">
      <c r="B10" s="659" t="s">
        <v>592</v>
      </c>
      <c r="C10" s="660">
        <f>[2]C013!$E$9</f>
        <v>1</v>
      </c>
      <c r="D10" s="650"/>
      <c r="E10" s="660">
        <f>C10-D10</f>
        <v>1</v>
      </c>
      <c r="F10" s="708">
        <f>[2]C013!$E$164</f>
        <v>0</v>
      </c>
      <c r="G10" s="715" t="str">
        <f t="shared" ref="G10:G21" si="0">IF(H10&lt;&gt;"","CK","")</f>
        <v/>
      </c>
      <c r="H10" s="707" t="str">
        <f>IF(D10&gt;C10,"&lt;--Minimum Balance cannot exceed 7/1/11 Est. Balance",IF(F10&gt;C10,"&lt;--Transfer greater than Est. balance on 7-1-11",""))</f>
        <v/>
      </c>
    </row>
    <row r="11" spans="1:8" ht="27" customHeight="1">
      <c r="B11" s="659" t="s">
        <v>505</v>
      </c>
      <c r="C11" s="660">
        <f>[2]C014!$E$9</f>
        <v>0</v>
      </c>
      <c r="D11" s="650"/>
      <c r="E11" s="660">
        <f t="shared" ref="E11:E21" si="1">C11-D11</f>
        <v>0</v>
      </c>
      <c r="F11" s="708">
        <f>[2]C014!$E$167</f>
        <v>0</v>
      </c>
      <c r="G11" s="715" t="str">
        <f t="shared" si="0"/>
        <v/>
      </c>
      <c r="H11" s="707" t="str">
        <f>IF(D11&gt;C11,"&lt;--Minimum Balance cannot exceed 7/1/11 Est. Balance",IF(F11&gt;C11,"&lt;--Transfer greater than Est. balance on 7-1-11",""))</f>
        <v/>
      </c>
    </row>
    <row r="12" spans="1:8" ht="27" customHeight="1">
      <c r="B12" s="659" t="s">
        <v>506</v>
      </c>
      <c r="C12" s="660">
        <f>[2]C053!$E$9</f>
        <v>269500</v>
      </c>
      <c r="D12" s="650"/>
      <c r="E12" s="660">
        <f t="shared" si="1"/>
        <v>269500</v>
      </c>
      <c r="F12" s="708">
        <f>[2]C053!$E$185</f>
        <v>0</v>
      </c>
      <c r="G12" s="715" t="str">
        <f t="shared" si="0"/>
        <v/>
      </c>
      <c r="H12" s="707" t="str">
        <f>IF(D12&gt;C12,"&lt;--Minimum Balance cannot exceed 7/1/11 Est. Balance",IF(F12&gt;C12,"&lt;--Transfer greater than Est. balance on 7-1-11",""))</f>
        <v/>
      </c>
    </row>
    <row r="13" spans="1:8" ht="27" customHeight="1">
      <c r="B13" s="659" t="s">
        <v>507</v>
      </c>
      <c r="C13" s="660">
        <f>[2]C018!$E$9</f>
        <v>30338</v>
      </c>
      <c r="D13" s="650"/>
      <c r="E13" s="660">
        <f t="shared" si="1"/>
        <v>30338</v>
      </c>
      <c r="F13" s="708">
        <f>[2]C018!$E$169</f>
        <v>0</v>
      </c>
      <c r="G13" s="715" t="str">
        <f t="shared" si="0"/>
        <v/>
      </c>
      <c r="H13" s="707" t="str">
        <f t="shared" ref="H13:H19" si="2">IF(D13&gt;C13,"&lt;--Minimum Balance cannot exceed 7/1/11 Est. Balance",IF(F13&gt;C13,"&lt;--Transfer greater than Est. balance on 7-1-11",""))</f>
        <v/>
      </c>
    </row>
    <row r="14" spans="1:8" ht="27" customHeight="1">
      <c r="B14" s="659" t="s">
        <v>508</v>
      </c>
      <c r="C14" s="660">
        <f>[2]C028!$E$9</f>
        <v>0</v>
      </c>
      <c r="D14" s="650"/>
      <c r="E14" s="660">
        <f t="shared" si="1"/>
        <v>0</v>
      </c>
      <c r="F14" s="708">
        <f>[2]C028!$E$93</f>
        <v>0</v>
      </c>
      <c r="G14" s="715" t="str">
        <f t="shared" si="0"/>
        <v/>
      </c>
      <c r="H14" s="707" t="str">
        <f t="shared" si="2"/>
        <v/>
      </c>
    </row>
    <row r="15" spans="1:8" ht="27" customHeight="1">
      <c r="B15" s="659" t="s">
        <v>509</v>
      </c>
      <c r="C15" s="660">
        <f>[2]C011!$E$9</f>
        <v>0</v>
      </c>
      <c r="D15" s="650"/>
      <c r="E15" s="660">
        <f t="shared" si="1"/>
        <v>0</v>
      </c>
      <c r="F15" s="708">
        <f>[2]C011!$E$165</f>
        <v>0</v>
      </c>
      <c r="G15" s="715" t="str">
        <f t="shared" si="0"/>
        <v/>
      </c>
      <c r="H15" s="707" t="str">
        <f t="shared" si="2"/>
        <v/>
      </c>
    </row>
    <row r="16" spans="1:8" ht="27" customHeight="1">
      <c r="B16" s="659" t="s">
        <v>598</v>
      </c>
      <c r="C16" s="660">
        <f>[2]C026!$E$9</f>
        <v>9195</v>
      </c>
      <c r="D16" s="650"/>
      <c r="E16" s="660">
        <f t="shared" si="1"/>
        <v>9195</v>
      </c>
      <c r="F16" s="708">
        <f>[2]C026!$E$56</f>
        <v>0</v>
      </c>
      <c r="G16" s="715" t="str">
        <f t="shared" si="0"/>
        <v/>
      </c>
      <c r="H16" s="707" t="str">
        <f t="shared" si="2"/>
        <v/>
      </c>
    </row>
    <row r="17" spans="1:9" ht="27" customHeight="1">
      <c r="B17" s="659" t="s">
        <v>599</v>
      </c>
      <c r="C17" s="660">
        <f>[2]C029!$E$9</f>
        <v>14970</v>
      </c>
      <c r="D17" s="650"/>
      <c r="E17" s="660">
        <f t="shared" si="1"/>
        <v>14970</v>
      </c>
      <c r="F17" s="708">
        <f>[2]C029!$E$169</f>
        <v>0</v>
      </c>
      <c r="G17" s="715" t="str">
        <f t="shared" si="0"/>
        <v/>
      </c>
      <c r="H17" s="707" t="str">
        <f t="shared" si="2"/>
        <v/>
      </c>
    </row>
    <row r="18" spans="1:9" ht="27" customHeight="1">
      <c r="B18" s="659" t="s">
        <v>600</v>
      </c>
      <c r="C18" s="660">
        <f>[2]C015!$E$9</f>
        <v>0</v>
      </c>
      <c r="D18" s="650"/>
      <c r="E18" s="660">
        <f t="shared" si="1"/>
        <v>0</v>
      </c>
      <c r="F18" s="708">
        <f>[2]C015!$E$153</f>
        <v>0</v>
      </c>
      <c r="G18" s="715" t="str">
        <f t="shared" si="0"/>
        <v/>
      </c>
      <c r="H18" s="707" t="str">
        <f t="shared" si="2"/>
        <v/>
      </c>
    </row>
    <row r="19" spans="1:9" ht="27" customHeight="1">
      <c r="B19" s="659" t="s">
        <v>601</v>
      </c>
      <c r="C19" s="660">
        <f>[2]C034!$E$9</f>
        <v>153122</v>
      </c>
      <c r="D19" s="650"/>
      <c r="E19" s="660">
        <f t="shared" si="1"/>
        <v>153122</v>
      </c>
      <c r="F19" s="708">
        <f>[2]C034!$E$166</f>
        <v>0</v>
      </c>
      <c r="G19" s="715" t="str">
        <f t="shared" si="0"/>
        <v/>
      </c>
      <c r="H19" s="707" t="str">
        <f t="shared" si="2"/>
        <v/>
      </c>
    </row>
    <row r="20" spans="1:9" ht="27" customHeight="1">
      <c r="B20" s="661" t="s">
        <v>608</v>
      </c>
      <c r="C20" s="660">
        <f>[2]C055!$E$9</f>
        <v>105465</v>
      </c>
      <c r="D20" s="650"/>
      <c r="E20" s="660">
        <f t="shared" si="1"/>
        <v>105465</v>
      </c>
      <c r="F20" s="708">
        <f>[2]C055!$E$47</f>
        <v>0</v>
      </c>
      <c r="G20" s="715" t="str">
        <f t="shared" si="0"/>
        <v/>
      </c>
      <c r="H20" s="707" t="str">
        <f>IF(D20&gt;C20,"&lt;--Minimum Balance cannot exceed 7/1/11 Est. Balance",IF(F20&gt;ROUND(C20*0.333,0),"&lt;--Transfer greater than 1/3 Est. balance on 7-1-11",""))</f>
        <v/>
      </c>
    </row>
    <row r="21" spans="1:9" ht="27" customHeight="1" thickBot="1">
      <c r="B21" s="659" t="s">
        <v>602</v>
      </c>
      <c r="C21" s="662">
        <f>[2]C030!$E$9</f>
        <v>545792</v>
      </c>
      <c r="D21" s="651"/>
      <c r="E21" s="663">
        <f t="shared" si="1"/>
        <v>545792</v>
      </c>
      <c r="F21" s="662">
        <f>[2]C030!$E$246</f>
        <v>0</v>
      </c>
      <c r="G21" s="715" t="str">
        <f t="shared" si="0"/>
        <v/>
      </c>
      <c r="H21" s="707" t="str">
        <f>IF(D21&gt;C21,"&lt;--Minimum Balance cannot exceed 7/1/11 Est. Balance",IF(F21&gt;ROUND(C21*0.333,0),"&lt;--Transfer greater than 1/3 Est. balance on 7-1-11",""))</f>
        <v/>
      </c>
    </row>
    <row r="22" spans="1:9" ht="24.75" customHeight="1" thickTop="1">
      <c r="B22" s="664" t="s">
        <v>293</v>
      </c>
      <c r="C22" s="665">
        <f>SUM(C10:C21)</f>
        <v>1128383</v>
      </c>
      <c r="D22" s="665">
        <f>SUM(D10:D21)</f>
        <v>0</v>
      </c>
      <c r="E22" s="665">
        <f>SUM(E10:E21)</f>
        <v>1128383</v>
      </c>
      <c r="F22" s="665">
        <f>SUM(F10:F21)</f>
        <v>0</v>
      </c>
      <c r="G22" s="714"/>
    </row>
    <row r="23" spans="1:9">
      <c r="G23" s="776"/>
      <c r="H23" s="778">
        <f>COUNTIF(G10:G21,"CK")</f>
        <v>0</v>
      </c>
      <c r="I23" s="777" t="s">
        <v>685</v>
      </c>
    </row>
    <row r="24" spans="1:9">
      <c r="A24" s="653" t="s">
        <v>518</v>
      </c>
      <c r="B24" s="654" t="s">
        <v>515</v>
      </c>
      <c r="E24" s="666"/>
    </row>
    <row r="25" spans="1:9">
      <c r="A25" s="654" t="s">
        <v>603</v>
      </c>
      <c r="B25" s="667" t="s">
        <v>516</v>
      </c>
      <c r="E25" s="706"/>
      <c r="F25" s="780"/>
      <c r="G25" s="706"/>
    </row>
    <row r="27" spans="1:9">
      <c r="A27" s="654" t="s">
        <v>519</v>
      </c>
      <c r="B27" s="654" t="s">
        <v>520</v>
      </c>
    </row>
    <row r="28" spans="1:9">
      <c r="B28" s="654" t="s">
        <v>566</v>
      </c>
      <c r="E28" s="705"/>
      <c r="F28" s="696">
        <f>ROUND(('F150'!E63-'F150'!J52)*232,0)</f>
        <v>127322</v>
      </c>
      <c r="G28" s="705"/>
    </row>
    <row r="30" spans="1:9">
      <c r="A30" s="654" t="s">
        <v>521</v>
      </c>
      <c r="B30" s="654" t="s">
        <v>606</v>
      </c>
    </row>
    <row r="31" spans="1:9">
      <c r="B31" s="654" t="s">
        <v>607</v>
      </c>
    </row>
    <row r="32" spans="1:9">
      <c r="B32" s="654" t="s">
        <v>714</v>
      </c>
      <c r="C32" s="668"/>
      <c r="D32" s="669">
        <f>F22</f>
        <v>0</v>
      </c>
      <c r="E32" s="654" t="s">
        <v>563</v>
      </c>
    </row>
    <row r="33" spans="1:8">
      <c r="B33" s="654" t="s">
        <v>656</v>
      </c>
      <c r="D33" s="703">
        <f>F25</f>
        <v>0</v>
      </c>
      <c r="E33" s="654" t="s">
        <v>657</v>
      </c>
      <c r="F33" s="697">
        <f>IF(ISERROR(ROUND(D32/D33,0)),0,ROUND(D32/D33,0))</f>
        <v>0</v>
      </c>
      <c r="G33" s="701"/>
    </row>
    <row r="34" spans="1:8">
      <c r="B34" s="668"/>
      <c r="C34" s="704"/>
      <c r="D34" s="670"/>
      <c r="E34" s="701"/>
      <c r="F34" s="701"/>
      <c r="G34" s="701"/>
    </row>
    <row r="36" spans="1:8">
      <c r="A36" s="654" t="s">
        <v>609</v>
      </c>
      <c r="B36" s="654" t="s">
        <v>612</v>
      </c>
    </row>
    <row r="37" spans="1:8">
      <c r="B37" s="654" t="s">
        <v>579</v>
      </c>
      <c r="E37" s="701"/>
    </row>
    <row r="38" spans="1:8">
      <c r="B38" s="654"/>
      <c r="E38" s="701"/>
    </row>
    <row r="39" spans="1:8">
      <c r="B39" s="702" t="s">
        <v>660</v>
      </c>
      <c r="E39" s="779" t="str">
        <f>IF(H23&gt;0,"Errors in Question 1","")</f>
        <v/>
      </c>
      <c r="F39" s="697">
        <f>IF(H23&gt;0,0,MIN(F22,F28))</f>
        <v>0</v>
      </c>
      <c r="G39" s="701"/>
      <c r="H39" s="779"/>
    </row>
    <row r="40" spans="1:8">
      <c r="B40" s="671"/>
    </row>
    <row r="41" spans="1:8">
      <c r="B41" s="672" t="s">
        <v>524</v>
      </c>
    </row>
    <row r="42" spans="1:8">
      <c r="B42" s="672" t="s">
        <v>525</v>
      </c>
    </row>
    <row r="44" spans="1:8">
      <c r="A44" s="666"/>
      <c r="B44" s="709" t="s">
        <v>615</v>
      </c>
      <c r="C44" s="673"/>
      <c r="D44" s="673"/>
      <c r="E44" s="674"/>
    </row>
    <row r="45" spans="1:8">
      <c r="A45" s="666"/>
      <c r="B45" s="710" t="s">
        <v>614</v>
      </c>
      <c r="C45" s="671"/>
      <c r="D45" s="671"/>
      <c r="E45" s="675"/>
    </row>
  </sheetData>
  <sheetProtection password="CC73" sheet="1" objects="1" scenarios="1"/>
  <mergeCells count="2">
    <mergeCell ref="B8:B9"/>
    <mergeCell ref="A3:F3"/>
  </mergeCells>
  <dataValidations count="2">
    <dataValidation type="whole" operator="greaterThanOrEqual" allowBlank="1" showInputMessage="1" showErrorMessage="1" errorTitle="Invalid Data Entry" error="Please enter a positive whole number or press the delete key or enter zero." sqref="D10:D21">
      <formula1>0</formula1>
    </dataValidation>
    <dataValidation type="whole" allowBlank="1" showInputMessage="1" showErrorMessage="1" errorTitle="Invalid Data Entry" error="Valid range is between 1 and 5.  Enter valid number or press the delete key. " sqref="F25">
      <formula1>1</formula1>
      <formula2>5</formula2>
    </dataValidation>
  </dataValidations>
  <hyperlinks>
    <hyperlink ref="H1" location="Contents!A1" display="Return to Contents page"/>
  </hyperlinks>
  <printOptions horizontalCentered="1"/>
  <pageMargins left="0.7" right="0.7" top="0.5" bottom="0.75" header="0.3" footer="0.3"/>
  <pageSetup scale="88" orientation="portrait" blackAndWhite="1"/>
  <headerFooter>
    <oddFooter>&amp;L&amp;D  &amp;T&amp;CForm 149&amp;RPage &amp;P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CE3949"/>
  <sheetViews>
    <sheetView tabSelected="1" zoomScale="120" zoomScaleNormal="100" workbookViewId="0">
      <selection activeCell="B28" sqref="B28"/>
    </sheetView>
  </sheetViews>
  <sheetFormatPr defaultColWidth="10.7109375" defaultRowHeight="12" customHeight="1"/>
  <cols>
    <col min="1" max="1" width="16.7109375" style="101" customWidth="1"/>
    <col min="2" max="2" width="11.28515625" style="101" customWidth="1"/>
    <col min="3" max="3" width="4.85546875" style="101" customWidth="1"/>
    <col min="4" max="4" width="32.140625" style="101" customWidth="1"/>
    <col min="5" max="5" width="14.85546875" style="101" customWidth="1"/>
    <col min="6" max="6" width="2" style="101" customWidth="1"/>
    <col min="7" max="7" width="9.85546875" style="101" customWidth="1"/>
    <col min="8" max="8" width="7.7109375" style="101" customWidth="1"/>
    <col min="9" max="9" width="1.42578125" style="101" customWidth="1"/>
    <col min="10" max="10" width="13.42578125" style="101" customWidth="1"/>
    <col min="11" max="11" width="2.42578125" style="101" customWidth="1"/>
    <col min="12" max="12" width="21" style="101" customWidth="1"/>
    <col min="13" max="13" width="18.42578125" style="101" customWidth="1"/>
    <col min="14" max="14" width="14.42578125" style="101" customWidth="1"/>
    <col min="15" max="15" width="10.7109375" style="101" customWidth="1"/>
    <col min="16" max="16" width="14.28515625" style="101" customWidth="1"/>
    <col min="17" max="17" width="13.42578125" style="101" customWidth="1"/>
    <col min="18" max="19" width="12.7109375" style="101" customWidth="1"/>
    <col min="20" max="20" width="13.85546875" style="101" customWidth="1"/>
    <col min="21" max="22" width="13.140625" style="101" customWidth="1"/>
    <col min="23" max="23" width="74.42578125" style="101" customWidth="1"/>
    <col min="24" max="24" width="10.140625" style="101" customWidth="1"/>
    <col min="25" max="16384" width="10.7109375" style="101"/>
  </cols>
  <sheetData>
    <row r="1" spans="1:14" ht="12" customHeight="1">
      <c r="A1" s="101" t="s">
        <v>390</v>
      </c>
      <c r="G1" s="102" t="s">
        <v>361</v>
      </c>
      <c r="H1" s="103"/>
      <c r="J1" s="104">
        <f>[2]OPEN!$B$4</f>
        <v>395</v>
      </c>
      <c r="L1" s="480" t="s">
        <v>268</v>
      </c>
      <c r="N1" s="105" t="s">
        <v>391</v>
      </c>
    </row>
    <row r="2" spans="1:14" ht="12" customHeight="1">
      <c r="A2" s="429">
        <f>[2]OPEN!$N$3</f>
        <v>40664</v>
      </c>
      <c r="D2" s="141"/>
    </row>
    <row r="3" spans="1:14" ht="12" customHeight="1">
      <c r="A3" s="106" t="s">
        <v>392</v>
      </c>
      <c r="B3" s="107"/>
      <c r="C3" s="107"/>
      <c r="D3" s="107"/>
      <c r="E3" s="107"/>
      <c r="F3" s="107"/>
      <c r="G3" s="107"/>
      <c r="H3" s="107"/>
      <c r="I3" s="107"/>
      <c r="J3" s="107"/>
    </row>
    <row r="4" spans="1:14" ht="12" customHeight="1">
      <c r="A4" s="106" t="str">
        <f>[2]OPEN!$N$2</f>
        <v>2011-2012</v>
      </c>
      <c r="B4" s="107"/>
      <c r="C4" s="107"/>
      <c r="D4" s="107"/>
      <c r="E4" s="107"/>
      <c r="F4" s="107"/>
      <c r="G4" s="107"/>
      <c r="H4" s="107"/>
      <c r="I4" s="107"/>
      <c r="J4" s="107"/>
    </row>
    <row r="5" spans="1:14" ht="12" customHeight="1">
      <c r="A5" s="106" t="s">
        <v>393</v>
      </c>
      <c r="B5" s="107"/>
      <c r="C5" s="107"/>
      <c r="D5" s="107"/>
      <c r="E5" s="107"/>
      <c r="F5" s="107"/>
      <c r="G5" s="107"/>
      <c r="H5" s="107"/>
      <c r="I5" s="107"/>
      <c r="J5" s="107"/>
    </row>
    <row r="6" spans="1:14" ht="15" customHeight="1">
      <c r="A6" s="108"/>
      <c r="B6" s="109"/>
      <c r="C6" s="109"/>
      <c r="D6" s="109"/>
      <c r="E6" s="109"/>
      <c r="F6" s="109"/>
      <c r="H6" s="103"/>
      <c r="I6" s="109"/>
      <c r="J6" s="109"/>
    </row>
    <row r="7" spans="1:14" ht="12" customHeight="1">
      <c r="A7" s="496"/>
    </row>
    <row r="9" spans="1:14" ht="12" customHeight="1">
      <c r="A9" s="110" t="s">
        <v>716</v>
      </c>
      <c r="J9" s="111"/>
      <c r="N9" s="112"/>
    </row>
    <row r="11" spans="1:14" ht="12" customHeight="1">
      <c r="A11" s="101" t="str">
        <f>"1.  Estimated 9-20-"&amp;[2]OPEN!$Q$5&amp;" FTE enrollment (from Table I or Table IV) (Exclude 4 yr old at-risk FTE.)"</f>
        <v>1.  Estimated 9-20-2011 FTE enrollment (from Table I or Table IV) (Exclude 4 yr old at-risk FTE.)</v>
      </c>
      <c r="I11" s="101" t="s">
        <v>292</v>
      </c>
      <c r="J11" s="113">
        <f>J155</f>
        <v>302</v>
      </c>
    </row>
    <row r="12" spans="1:14" ht="6" customHeight="1">
      <c r="J12" s="114"/>
    </row>
    <row r="13" spans="1:14" ht="12" customHeight="1">
      <c r="A13" s="101" t="str">
        <f>"2.  Estimated 9-20-"&amp;[2]OPEN!$Q$5&amp;" 4yr old at risk FTE enrollment (e) (Must be approved.)(At-risk students count as .5 FTE)"</f>
        <v>2.  Estimated 9-20-2011 4yr old at risk FTE enrollment (e) (Must be approved.)(At-risk students count as .5 FTE)</v>
      </c>
      <c r="J13" s="114"/>
    </row>
    <row r="14" spans="1:14" ht="12" customHeight="1">
      <c r="B14" s="115">
        <f>[2]OPEN!$A$48</f>
        <v>0</v>
      </c>
      <c r="C14" s="101" t="s">
        <v>55</v>
      </c>
      <c r="D14" s="131">
        <f>J159</f>
        <v>0</v>
      </c>
      <c r="E14" s="101" t="s">
        <v>313</v>
      </c>
      <c r="I14" s="101" t="s">
        <v>292</v>
      </c>
      <c r="J14" s="113">
        <f>B14+D14</f>
        <v>0</v>
      </c>
    </row>
    <row r="15" spans="1:14" ht="6.75" customHeight="1">
      <c r="J15" s="114"/>
    </row>
    <row r="16" spans="1:14" ht="12" customHeight="1">
      <c r="A16" s="101" t="str">
        <f>"3.  Total Estimated 9-20-"&amp;[2]OPEN!$Q$5&amp;" FTE Enrollment (Line 1 + Line 2)"</f>
        <v>3.  Total Estimated 9-20-2011 FTE Enrollment (Line 1 + Line 2)</v>
      </c>
      <c r="I16" s="101" t="s">
        <v>292</v>
      </c>
      <c r="J16" s="113">
        <f>SUM(J11+J14)</f>
        <v>302</v>
      </c>
    </row>
    <row r="17" spans="1:22" ht="6.75" customHeight="1">
      <c r="J17" s="102"/>
    </row>
    <row r="18" spans="1:22" ht="12" customHeight="1">
      <c r="A18" s="101" t="str">
        <f>"4.  Estimated low enrollment and high enrollment for districts.  9-20-"&amp;[2]OPEN!$Q$5&amp;" FTE enrollment"</f>
        <v>4.  Estimated low enrollment and high enrollment for districts.  9-20-2011 FTE enrollment</v>
      </c>
      <c r="J18" s="102"/>
    </row>
    <row r="19" spans="1:22" ht="12" customHeight="1">
      <c r="A19" s="101" t="s">
        <v>395</v>
      </c>
      <c r="B19" s="115">
        <f>J16</f>
        <v>302</v>
      </c>
      <c r="C19" s="101" t="s">
        <v>396</v>
      </c>
      <c r="D19" s="116">
        <f>INDEX(L126:M129,MATCH(TRUE,L126:L129,0),2)</f>
        <v>0.48350700000000002</v>
      </c>
      <c r="E19" s="101" t="s">
        <v>314</v>
      </c>
      <c r="I19" s="101" t="s">
        <v>292</v>
      </c>
      <c r="J19" s="113">
        <f>B19*D19</f>
        <v>146</v>
      </c>
      <c r="N19" s="112"/>
    </row>
    <row r="20" spans="1:22" ht="12" customHeight="1">
      <c r="B20" s="117"/>
      <c r="J20" s="102"/>
    </row>
    <row r="21" spans="1:22" ht="12" customHeight="1">
      <c r="A21" s="101" t="str">
        <f>"5.  Estimated weighted bilingual education enrollment.  9-20-"&amp;[2]OPEN!$Q$5&amp;" bilingual"</f>
        <v>5.  Estimated weighted bilingual education enrollment.  9-20-2011 bilingual</v>
      </c>
      <c r="I21" s="101" t="s">
        <v>292</v>
      </c>
      <c r="J21" s="113">
        <f>(B22+D22)*[2]OPEN!$N$21</f>
        <v>0</v>
      </c>
    </row>
    <row r="22" spans="1:22" ht="12" customHeight="1">
      <c r="A22" s="101" t="s">
        <v>397</v>
      </c>
      <c r="B22" s="118">
        <f>D75</f>
        <v>0</v>
      </c>
      <c r="C22" s="101" t="s">
        <v>55</v>
      </c>
      <c r="D22" s="509">
        <f>G161</f>
        <v>0</v>
      </c>
      <c r="E22" s="101" t="str">
        <f>"(Table IV, Line 5) x "&amp;[2]OPEN!$N$21</f>
        <v>(Table IV, Line 5) x 0.395</v>
      </c>
      <c r="J22" s="102"/>
      <c r="N22" s="103"/>
      <c r="O22" s="103"/>
      <c r="P22" s="103"/>
      <c r="Q22" s="103"/>
      <c r="R22" s="103"/>
      <c r="S22" s="103"/>
      <c r="T22" s="103"/>
      <c r="U22" s="103"/>
      <c r="V22" s="103"/>
    </row>
    <row r="23" spans="1:22" ht="6" customHeight="1">
      <c r="J23" s="102"/>
      <c r="N23" s="103"/>
      <c r="O23" s="103"/>
      <c r="P23" s="103"/>
      <c r="Q23" s="103"/>
      <c r="R23" s="103"/>
      <c r="S23" s="103"/>
      <c r="T23" s="103"/>
      <c r="U23" s="103"/>
      <c r="V23" s="103"/>
    </row>
    <row r="24" spans="1:22" ht="12" customHeight="1">
      <c r="A24" s="101" t="str">
        <f>"6.  Estimated weighted vocational education enrollment.  9-20-"&amp;[2]OPEN!$Q$5&amp;" vocational education"</f>
        <v>6.  Estimated weighted vocational education enrollment.  9-20-2011 vocational education</v>
      </c>
      <c r="J24" s="102"/>
      <c r="N24" s="103"/>
      <c r="O24" s="103"/>
      <c r="P24" s="103"/>
      <c r="Q24" s="103"/>
      <c r="R24" s="103"/>
      <c r="S24" s="103"/>
      <c r="T24" s="103"/>
      <c r="U24" s="103"/>
      <c r="V24" s="103"/>
    </row>
    <row r="25" spans="1:22" ht="12" customHeight="1">
      <c r="A25" s="101" t="s">
        <v>398</v>
      </c>
      <c r="B25" s="118">
        <f>D79</f>
        <v>7.6666999999999996</v>
      </c>
      <c r="C25" s="101" t="s">
        <v>55</v>
      </c>
      <c r="D25" s="508">
        <f>B165</f>
        <v>0</v>
      </c>
      <c r="E25" s="101" t="str">
        <f>"(Table IV, Line 6) x "&amp;[2]OPEN!$N$22</f>
        <v>(Table IV, Line 6) x 0.5</v>
      </c>
      <c r="I25" s="101" t="s">
        <v>292</v>
      </c>
      <c r="J25" s="119">
        <f>(B25+D25)*[2]OPEN!$N$22</f>
        <v>3.8</v>
      </c>
      <c r="N25" s="103"/>
      <c r="O25" s="103"/>
      <c r="P25" s="103"/>
      <c r="Q25" s="103"/>
      <c r="R25" s="103"/>
      <c r="S25" s="103"/>
      <c r="T25" s="103"/>
      <c r="U25" s="103"/>
      <c r="V25" s="103"/>
    </row>
    <row r="26" spans="1:22" ht="6" customHeight="1">
      <c r="J26" s="120"/>
      <c r="N26" s="103"/>
      <c r="O26" s="103"/>
      <c r="P26" s="103"/>
      <c r="Q26" s="103"/>
      <c r="R26" s="103"/>
      <c r="S26" s="103"/>
      <c r="T26" s="103"/>
      <c r="U26" s="103"/>
      <c r="V26" s="103"/>
    </row>
    <row r="27" spans="1:22" ht="12" customHeight="1">
      <c r="A27" s="101" t="s">
        <v>315</v>
      </c>
      <c r="J27" s="102"/>
      <c r="N27" s="103"/>
      <c r="O27" s="103"/>
      <c r="P27" s="103"/>
      <c r="Q27" s="103"/>
      <c r="R27" s="103"/>
      <c r="S27" s="103"/>
      <c r="T27" s="103"/>
      <c r="U27" s="103"/>
      <c r="V27" s="103"/>
    </row>
    <row r="28" spans="1:22" ht="12" customHeight="1">
      <c r="A28" s="101" t="str">
        <f>"     as of 9-20-"&amp;[2]OPEN!$Q$5</f>
        <v xml:space="preserve">     as of 9-20-2011</v>
      </c>
      <c r="B28" s="514">
        <f>[2]OPEN!$A$49</f>
        <v>123</v>
      </c>
      <c r="C28" s="101" t="s">
        <v>55</v>
      </c>
      <c r="D28" s="507">
        <f>D168</f>
        <v>0</v>
      </c>
      <c r="E28" s="133" t="str">
        <f>"(Table IV, Line 7) x "&amp;[2]OPEN!$N$23</f>
        <v>(Table IV, Line 7) x 0.456</v>
      </c>
      <c r="F28" s="103"/>
      <c r="I28" s="101" t="s">
        <v>292</v>
      </c>
      <c r="J28" s="121">
        <f>(B28+D28)*[2]OPEN!$N$23</f>
        <v>56.1</v>
      </c>
      <c r="N28" s="103"/>
      <c r="O28" s="103"/>
      <c r="P28" s="103"/>
      <c r="Q28" s="103"/>
      <c r="R28" s="103"/>
      <c r="S28" s="103"/>
      <c r="T28" s="103"/>
      <c r="U28" s="103"/>
      <c r="V28" s="103"/>
    </row>
    <row r="29" spans="1:22" ht="6.75" customHeight="1">
      <c r="B29" s="128"/>
      <c r="D29" s="494"/>
      <c r="E29" s="133"/>
      <c r="F29" s="103"/>
      <c r="J29" s="120"/>
      <c r="N29" s="103"/>
      <c r="O29" s="103"/>
      <c r="P29" s="103"/>
      <c r="Q29" s="103"/>
      <c r="R29" s="103"/>
      <c r="S29" s="103"/>
      <c r="T29" s="103"/>
      <c r="U29" s="103"/>
      <c r="V29" s="103"/>
    </row>
    <row r="30" spans="1:22" ht="12" customHeight="1">
      <c r="A30" s="101" t="s">
        <v>425</v>
      </c>
      <c r="B30" s="128"/>
      <c r="D30" s="494"/>
      <c r="E30" s="133"/>
      <c r="F30" s="103"/>
      <c r="J30" s="120"/>
      <c r="N30" s="103"/>
      <c r="O30" s="103"/>
      <c r="P30" s="103"/>
      <c r="Q30" s="103"/>
      <c r="R30" s="103"/>
      <c r="S30" s="103"/>
      <c r="T30" s="103"/>
      <c r="U30" s="103"/>
      <c r="V30" s="103"/>
    </row>
    <row r="31" spans="1:22" ht="12" customHeight="1">
      <c r="A31" s="101" t="s">
        <v>427</v>
      </c>
      <c r="B31" s="128"/>
      <c r="D31" s="494"/>
      <c r="E31" s="133"/>
      <c r="F31" s="103"/>
      <c r="J31" s="120"/>
      <c r="N31" s="103"/>
      <c r="O31" s="103"/>
      <c r="P31" s="103"/>
      <c r="Q31" s="103"/>
      <c r="R31" s="103"/>
      <c r="S31" s="103"/>
      <c r="T31" s="103"/>
      <c r="U31" s="103"/>
      <c r="V31" s="103"/>
    </row>
    <row r="32" spans="1:22" ht="12" customHeight="1">
      <c r="B32" s="128"/>
      <c r="D32" s="545" t="s">
        <v>481</v>
      </c>
      <c r="E32" s="521">
        <f>J229</f>
        <v>0.4073</v>
      </c>
      <c r="F32" s="498"/>
      <c r="G32" s="142"/>
      <c r="J32" s="120"/>
      <c r="L32" s="141"/>
      <c r="N32" s="103"/>
      <c r="O32" s="103"/>
      <c r="P32" s="103"/>
      <c r="Q32" s="103"/>
      <c r="R32" s="103"/>
      <c r="S32" s="103"/>
      <c r="T32" s="103"/>
      <c r="U32" s="103"/>
      <c r="V32" s="103"/>
    </row>
    <row r="33" spans="1:22" ht="5.25" customHeight="1">
      <c r="B33" s="128"/>
      <c r="D33" s="494"/>
      <c r="E33" s="133"/>
      <c r="F33" s="498"/>
      <c r="J33" s="120"/>
      <c r="N33" s="103"/>
      <c r="O33" s="103"/>
      <c r="P33" s="103"/>
      <c r="Q33" s="103"/>
      <c r="R33" s="103"/>
      <c r="S33" s="103"/>
      <c r="T33" s="103"/>
      <c r="U33" s="103"/>
      <c r="V33" s="103"/>
    </row>
    <row r="34" spans="1:22" ht="12" customHeight="1">
      <c r="A34" s="101" t="s">
        <v>426</v>
      </c>
      <c r="B34" s="128"/>
      <c r="D34" s="494"/>
      <c r="E34" s="133"/>
      <c r="F34" s="103"/>
      <c r="J34" s="120"/>
      <c r="N34" s="103"/>
      <c r="O34" s="103"/>
      <c r="P34" s="103"/>
      <c r="Q34" s="103"/>
      <c r="R34" s="103"/>
      <c r="S34" s="103"/>
      <c r="T34" s="103"/>
      <c r="U34" s="103"/>
      <c r="V34" s="103"/>
    </row>
    <row r="35" spans="1:22" ht="12" customHeight="1">
      <c r="B35" s="128"/>
      <c r="D35" s="505" t="str">
        <f>"Line 3 / square miles in district = " &amp; J16 &amp; " / " &amp; [2]OPEN!$A$81 &amp; " = "</f>
        <v xml:space="preserve">Line 3 / square miles in district = 302 / 486 = </v>
      </c>
      <c r="E35" s="506">
        <f>J16/[2]OPEN!$A$81</f>
        <v>0.6</v>
      </c>
      <c r="F35" s="498"/>
      <c r="G35" s="133"/>
      <c r="J35" s="120"/>
      <c r="N35" s="103"/>
      <c r="O35" s="103"/>
      <c r="P35" s="103"/>
      <c r="Q35" s="103"/>
      <c r="R35" s="103"/>
      <c r="S35" s="103"/>
      <c r="T35" s="103"/>
      <c r="U35" s="103"/>
      <c r="V35" s="103"/>
    </row>
    <row r="36" spans="1:22" ht="5.25" customHeight="1">
      <c r="B36" s="128"/>
      <c r="D36" s="494"/>
      <c r="E36" s="133"/>
      <c r="F36" s="103"/>
      <c r="J36" s="120"/>
      <c r="N36" s="103"/>
      <c r="O36" s="103"/>
      <c r="P36" s="103"/>
      <c r="Q36" s="103"/>
      <c r="R36" s="103"/>
      <c r="S36" s="103"/>
      <c r="T36" s="103"/>
      <c r="U36" s="103"/>
      <c r="V36" s="103"/>
    </row>
    <row r="37" spans="1:22" ht="12" customHeight="1">
      <c r="A37" s="101" t="s">
        <v>326</v>
      </c>
      <c r="B37" s="128"/>
      <c r="D37" s="494"/>
      <c r="E37" s="133"/>
      <c r="F37" s="103"/>
      <c r="G37" s="505" t="str">
        <f>"(" &amp; B28 &amp;"+" &amp;D28 &amp;")    x "</f>
        <v xml:space="preserve">(123+0)    x </v>
      </c>
      <c r="H37" s="101">
        <f>[2]OPEN!$Q$32</f>
        <v>0.1</v>
      </c>
      <c r="I37" s="499" t="s">
        <v>292</v>
      </c>
      <c r="J37" s="121">
        <f>IF(E32&gt;=0.5,(B28+D28)*H37,0)</f>
        <v>0</v>
      </c>
      <c r="N37" s="103"/>
      <c r="O37" s="103"/>
      <c r="P37" s="103"/>
      <c r="Q37" s="103"/>
      <c r="R37" s="103"/>
      <c r="S37" s="103"/>
      <c r="T37" s="103"/>
      <c r="U37" s="103"/>
      <c r="V37" s="103"/>
    </row>
    <row r="38" spans="1:22" ht="12" customHeight="1">
      <c r="A38" s="101" t="s">
        <v>431</v>
      </c>
      <c r="B38" s="128"/>
      <c r="D38" s="494"/>
      <c r="E38" s="133"/>
      <c r="F38" s="103"/>
      <c r="G38" s="505" t="str">
        <f>"(" &amp; B28 &amp;"+" &amp;D28 &amp;")    x "</f>
        <v xml:space="preserve">(123+0)    x </v>
      </c>
      <c r="H38" s="101">
        <f>[2]OPEN!$Q$33</f>
        <v>0.1</v>
      </c>
      <c r="I38" s="499" t="s">
        <v>292</v>
      </c>
      <c r="J38" s="500">
        <f>IF(AND(E32&gt;=0.351,E35&gt;=212.1,J37=0),(B28+D28)*H38,0)</f>
        <v>0</v>
      </c>
      <c r="N38" s="103"/>
      <c r="O38" s="103"/>
      <c r="P38" s="103"/>
      <c r="Q38" s="103"/>
      <c r="R38" s="103"/>
      <c r="S38" s="103"/>
      <c r="T38" s="103"/>
      <c r="U38" s="103"/>
      <c r="V38" s="103"/>
    </row>
    <row r="39" spans="1:22" ht="12" customHeight="1">
      <c r="A39" s="101" t="s">
        <v>432</v>
      </c>
      <c r="B39" s="128"/>
      <c r="D39" s="494"/>
      <c r="E39" s="133"/>
      <c r="F39" s="103"/>
      <c r="G39" s="505" t="str">
        <f>"(" &amp; B28 &amp;"+" &amp;D28 &amp;")    x "</f>
        <v xml:space="preserve">(123+0)    x </v>
      </c>
      <c r="H39" s="101">
        <f>[2]OPEN!$Q$31</f>
        <v>0.06</v>
      </c>
      <c r="I39" s="499" t="s">
        <v>292</v>
      </c>
      <c r="J39" s="500">
        <f>IF(AND(E32&gt;=0.4,E32&lt;=0.5,J37=0,J38=0),(B28+D28)*H39,0)</f>
        <v>7.4</v>
      </c>
      <c r="N39" s="103"/>
      <c r="O39" s="103"/>
      <c r="P39" s="103"/>
      <c r="Q39" s="103"/>
      <c r="R39" s="103"/>
      <c r="S39" s="103"/>
      <c r="T39" s="103"/>
      <c r="U39" s="103"/>
      <c r="V39" s="103"/>
    </row>
    <row r="40" spans="1:22" ht="6.75" customHeight="1">
      <c r="B40" s="128"/>
      <c r="D40" s="494"/>
      <c r="E40" s="133"/>
      <c r="F40" s="103"/>
      <c r="J40" s="120"/>
      <c r="N40" s="103"/>
      <c r="O40" s="103"/>
      <c r="P40" s="103"/>
      <c r="Q40" s="103"/>
      <c r="R40" s="103"/>
      <c r="S40" s="103"/>
      <c r="T40" s="103"/>
      <c r="U40" s="103"/>
      <c r="V40" s="103"/>
    </row>
    <row r="41" spans="1:22" ht="12" customHeight="1">
      <c r="A41" s="101" t="s">
        <v>442</v>
      </c>
      <c r="B41" s="128"/>
      <c r="D41" s="494"/>
      <c r="E41" s="514">
        <f>[2]OPEN!$A$55</f>
        <v>10</v>
      </c>
      <c r="F41" s="498" t="s">
        <v>396</v>
      </c>
      <c r="G41" s="101">
        <v>4.65E-2</v>
      </c>
      <c r="H41" s="101" t="s">
        <v>443</v>
      </c>
      <c r="I41" s="101" t="s">
        <v>292</v>
      </c>
      <c r="J41" s="121">
        <f>(E41*G41)</f>
        <v>0.5</v>
      </c>
      <c r="N41" s="103"/>
      <c r="O41" s="103"/>
      <c r="P41" s="103"/>
      <c r="Q41" s="103"/>
      <c r="R41" s="103"/>
      <c r="S41" s="103"/>
      <c r="T41" s="103"/>
      <c r="U41" s="103"/>
      <c r="V41" s="103"/>
    </row>
    <row r="42" spans="1:22" ht="5.25" customHeight="1">
      <c r="A42" s="496"/>
      <c r="B42" s="128"/>
      <c r="D42" s="494"/>
      <c r="E42" s="515"/>
      <c r="F42" s="498"/>
      <c r="J42" s="120"/>
      <c r="N42" s="103"/>
      <c r="O42" s="103"/>
      <c r="P42" s="103"/>
      <c r="Q42" s="103"/>
      <c r="R42" s="103"/>
      <c r="S42" s="103"/>
      <c r="T42" s="103"/>
      <c r="U42" s="103"/>
      <c r="V42" s="103"/>
    </row>
    <row r="43" spans="1:22" ht="12" customHeight="1">
      <c r="A43" s="101" t="str">
        <f>"10.  Estimated weighted FTE for new facilities.  9-20-"&amp;[2]OPEN!$Q$5&amp;" enrollment of students attending a"</f>
        <v>10.  Estimated weighted FTE for new facilities.  9-20-2011 enrollment of students attending a</v>
      </c>
      <c r="J43" s="102"/>
      <c r="N43" s="103"/>
      <c r="O43" s="103"/>
      <c r="P43" s="103"/>
      <c r="Q43" s="103"/>
      <c r="R43" s="103"/>
      <c r="S43" s="103"/>
      <c r="T43" s="103"/>
      <c r="U43" s="103"/>
      <c r="V43" s="103"/>
    </row>
    <row r="44" spans="1:22" ht="12" customHeight="1">
      <c r="A44" s="101" t="s">
        <v>333</v>
      </c>
      <c r="B44" s="115">
        <f>[2]OPEN!$A$52</f>
        <v>0</v>
      </c>
      <c r="C44" s="101" t="s">
        <v>55</v>
      </c>
      <c r="D44" s="131">
        <f>G174</f>
        <v>0</v>
      </c>
      <c r="E44" s="101" t="str">
        <f>"(Table IV, Line 9) x "&amp;[2]OPEN!$N$24</f>
        <v>(Table IV, Line 9) x 0.25</v>
      </c>
      <c r="I44" s="101" t="s">
        <v>292</v>
      </c>
      <c r="J44" s="113">
        <f>(B44+D44)*[2]OPEN!$N$24</f>
        <v>0</v>
      </c>
      <c r="N44" s="103"/>
      <c r="O44" s="103"/>
      <c r="P44" s="103"/>
      <c r="Q44" s="103"/>
      <c r="R44" s="103"/>
      <c r="S44" s="103"/>
      <c r="T44" s="103"/>
      <c r="U44" s="103"/>
      <c r="V44" s="103"/>
    </row>
    <row r="45" spans="1:22" ht="12" customHeight="1">
      <c r="J45" s="102"/>
      <c r="N45" s="103"/>
      <c r="O45" s="103"/>
      <c r="P45" s="103"/>
      <c r="Q45" s="103"/>
      <c r="R45" s="103"/>
      <c r="S45" s="103"/>
      <c r="T45" s="103"/>
      <c r="U45" s="103"/>
      <c r="V45" s="103"/>
    </row>
    <row r="46" spans="1:22" ht="12" customHeight="1">
      <c r="A46" s="101" t="s">
        <v>332</v>
      </c>
      <c r="I46" s="101" t="s">
        <v>292</v>
      </c>
      <c r="J46" s="113">
        <f>J140</f>
        <v>33</v>
      </c>
      <c r="N46" s="103"/>
      <c r="O46" s="103"/>
      <c r="P46" s="103"/>
      <c r="Q46" s="103"/>
      <c r="R46" s="103"/>
      <c r="S46" s="103"/>
      <c r="T46" s="103"/>
      <c r="U46" s="103"/>
      <c r="V46" s="103"/>
    </row>
    <row r="47" spans="1:22" ht="6.75" customHeight="1">
      <c r="J47" s="102"/>
      <c r="N47" s="103"/>
      <c r="O47" s="103"/>
      <c r="P47" s="103"/>
      <c r="Q47" s="103"/>
      <c r="R47" s="103"/>
      <c r="S47" s="103"/>
      <c r="T47" s="103"/>
      <c r="U47" s="103"/>
      <c r="V47" s="103"/>
    </row>
    <row r="48" spans="1:22" ht="12.75" customHeight="1">
      <c r="A48" s="101" t="s">
        <v>382</v>
      </c>
      <c r="I48" s="499" t="s">
        <v>292</v>
      </c>
      <c r="J48" s="113">
        <f>J201</f>
        <v>0</v>
      </c>
      <c r="N48" s="103"/>
      <c r="O48" s="103"/>
      <c r="P48" s="103"/>
      <c r="Q48" s="103"/>
      <c r="R48" s="103"/>
      <c r="S48" s="103"/>
      <c r="T48" s="103"/>
      <c r="U48" s="103"/>
      <c r="V48" s="103"/>
    </row>
    <row r="49" spans="1:22" ht="6.75" customHeight="1">
      <c r="J49" s="102"/>
      <c r="N49" s="103"/>
      <c r="O49" s="103"/>
      <c r="P49" s="103"/>
      <c r="Q49" s="103"/>
      <c r="R49" s="103"/>
      <c r="S49" s="103"/>
      <c r="T49" s="103"/>
      <c r="U49" s="103"/>
      <c r="V49" s="103"/>
    </row>
    <row r="50" spans="1:22" ht="12.75">
      <c r="A50" s="101" t="s">
        <v>469</v>
      </c>
      <c r="E50" s="501">
        <f>[2]OPEN!$A$78</f>
        <v>0</v>
      </c>
      <c r="F50" s="101" t="s">
        <v>399</v>
      </c>
      <c r="G50" s="122">
        <f>[2]OPEN!$N$25</f>
        <v>3780</v>
      </c>
      <c r="H50" s="117"/>
      <c r="I50" s="101" t="s">
        <v>292</v>
      </c>
      <c r="J50" s="119">
        <f>E50/G50</f>
        <v>0</v>
      </c>
      <c r="N50" s="103"/>
      <c r="O50" s="103"/>
      <c r="P50" s="103"/>
      <c r="Q50" s="103"/>
      <c r="R50" s="103"/>
      <c r="S50" s="103"/>
      <c r="T50" s="103"/>
      <c r="U50" s="103"/>
      <c r="V50" s="103"/>
    </row>
    <row r="51" spans="1:22" ht="5.25" customHeight="1">
      <c r="E51" s="123"/>
      <c r="G51" s="122"/>
      <c r="H51" s="117"/>
      <c r="J51" s="124"/>
      <c r="L51" s="442"/>
      <c r="N51" s="103"/>
      <c r="O51" s="103"/>
      <c r="P51" s="103"/>
      <c r="Q51" s="103"/>
      <c r="R51" s="103"/>
      <c r="S51" s="103"/>
      <c r="T51" s="103"/>
      <c r="U51" s="103"/>
      <c r="V51" s="103"/>
    </row>
    <row r="52" spans="1:22" ht="12.75">
      <c r="A52" s="101" t="s">
        <v>383</v>
      </c>
      <c r="E52" s="501">
        <f>'F118'!$G$60</f>
        <v>321853</v>
      </c>
      <c r="F52" s="101" t="s">
        <v>399</v>
      </c>
      <c r="G52" s="122">
        <f>[2]OPEN!$N$25</f>
        <v>3780</v>
      </c>
      <c r="H52" s="117"/>
      <c r="I52" s="101" t="s">
        <v>292</v>
      </c>
      <c r="J52" s="119">
        <f>E52/G52</f>
        <v>85.1</v>
      </c>
      <c r="M52" s="440"/>
      <c r="N52" s="103"/>
      <c r="O52" s="103"/>
      <c r="P52" s="103"/>
      <c r="Q52" s="103"/>
      <c r="R52" s="103"/>
      <c r="S52" s="103"/>
      <c r="T52" s="103"/>
      <c r="U52" s="103"/>
      <c r="V52" s="103"/>
    </row>
    <row r="53" spans="1:22" ht="6" customHeight="1">
      <c r="E53" s="459"/>
      <c r="G53" s="122"/>
      <c r="H53" s="117"/>
      <c r="J53" s="124"/>
      <c r="M53" s="440"/>
      <c r="N53" s="103"/>
      <c r="O53" s="103"/>
      <c r="P53" s="103"/>
      <c r="Q53" s="103"/>
      <c r="R53" s="103"/>
      <c r="S53" s="103"/>
      <c r="T53" s="103"/>
      <c r="U53" s="103"/>
      <c r="V53" s="103"/>
    </row>
    <row r="54" spans="1:22" ht="12.75">
      <c r="A54" s="101" t="s">
        <v>556</v>
      </c>
      <c r="E54" s="501">
        <f>[2]OPEN!$A$79</f>
        <v>0</v>
      </c>
      <c r="F54" s="101" t="s">
        <v>399</v>
      </c>
      <c r="G54" s="122">
        <f>[2]OPEN!$N$25</f>
        <v>3780</v>
      </c>
      <c r="H54" s="117"/>
      <c r="I54" s="101" t="s">
        <v>292</v>
      </c>
      <c r="J54" s="119">
        <f>E54/G54</f>
        <v>0</v>
      </c>
      <c r="M54" s="440"/>
      <c r="N54" s="103"/>
      <c r="O54" s="103"/>
      <c r="P54" s="103"/>
      <c r="Q54" s="103"/>
      <c r="R54" s="103"/>
      <c r="S54" s="103"/>
      <c r="T54" s="103"/>
      <c r="U54" s="103"/>
      <c r="V54" s="103"/>
    </row>
    <row r="55" spans="1:22" ht="6" customHeight="1">
      <c r="E55" s="570"/>
      <c r="G55" s="122"/>
      <c r="H55" s="117"/>
      <c r="J55" s="124"/>
      <c r="M55" s="440"/>
      <c r="N55" s="103"/>
      <c r="O55" s="103"/>
      <c r="P55" s="103"/>
      <c r="Q55" s="103"/>
      <c r="R55" s="103"/>
      <c r="S55" s="103"/>
      <c r="T55" s="103"/>
      <c r="U55" s="103"/>
      <c r="V55" s="103"/>
    </row>
    <row r="56" spans="1:22" ht="14.25" customHeight="1">
      <c r="A56" s="101" t="s">
        <v>554</v>
      </c>
      <c r="E56" s="581"/>
      <c r="G56" s="122"/>
      <c r="H56" s="117"/>
      <c r="I56" s="101" t="s">
        <v>292</v>
      </c>
      <c r="J56" s="119">
        <f>[2]OPEN!$A$56</f>
        <v>0</v>
      </c>
      <c r="M56" s="440"/>
      <c r="N56" s="103"/>
      <c r="O56" s="103"/>
      <c r="P56" s="103"/>
      <c r="Q56" s="103"/>
      <c r="R56" s="103"/>
      <c r="S56" s="103"/>
      <c r="T56" s="103"/>
      <c r="U56" s="103"/>
      <c r="V56" s="103"/>
    </row>
    <row r="57" spans="1:22" ht="6" customHeight="1">
      <c r="E57" s="459"/>
      <c r="G57" s="122"/>
      <c r="H57" s="117"/>
      <c r="J57" s="124"/>
      <c r="L57" s="442"/>
      <c r="N57" s="103"/>
      <c r="O57" s="103"/>
      <c r="P57" s="103"/>
      <c r="Q57" s="103"/>
      <c r="R57" s="103"/>
      <c r="S57" s="103"/>
      <c r="T57" s="103"/>
      <c r="U57" s="103"/>
      <c r="V57" s="103"/>
    </row>
    <row r="58" spans="1:22" ht="11.25" customHeight="1">
      <c r="A58" s="101" t="str">
        <f>"17.  Estimated "&amp;[2]OPEN!$P$4&amp;" operating budget.  (Lines 3 through 16)"</f>
        <v>17.  Estimated 2011-2012 operating budget.  (Lines 3 through 16)</v>
      </c>
      <c r="E58" s="510">
        <f>SUM(J16:J56)</f>
        <v>633.9</v>
      </c>
      <c r="F58" s="101" t="s">
        <v>396</v>
      </c>
      <c r="G58" s="122">
        <f>[2]OPEN!$N$25</f>
        <v>3780</v>
      </c>
      <c r="H58" s="117"/>
      <c r="I58" s="101" t="s">
        <v>292</v>
      </c>
      <c r="J58" s="472">
        <f>IF((ISERROR(L58)),(E58*G58),L58)</f>
        <v>2396142</v>
      </c>
      <c r="K58" s="141"/>
      <c r="L58" s="546" t="e">
        <f>VLOOKUP(J1,O289:R298,4,FALSE)</f>
        <v>#N/A</v>
      </c>
      <c r="M58" s="548" t="s">
        <v>560</v>
      </c>
      <c r="N58" s="439"/>
      <c r="O58" s="439"/>
      <c r="P58" s="439"/>
      <c r="Q58" s="439"/>
      <c r="R58" s="455"/>
      <c r="S58" s="455"/>
      <c r="T58" s="103"/>
      <c r="U58" s="103"/>
      <c r="V58" s="103"/>
    </row>
    <row r="59" spans="1:22" ht="5.25" customHeight="1">
      <c r="E59" s="516"/>
      <c r="G59" s="122"/>
      <c r="H59" s="117"/>
      <c r="J59" s="517"/>
      <c r="K59" s="141"/>
      <c r="L59" s="440"/>
      <c r="M59" s="443"/>
      <c r="N59" s="439"/>
      <c r="O59" s="439"/>
      <c r="P59" s="439"/>
      <c r="Q59" s="439"/>
      <c r="R59" s="455"/>
      <c r="S59" s="455"/>
      <c r="T59" s="103"/>
      <c r="U59" s="103"/>
      <c r="V59" s="103"/>
    </row>
    <row r="60" spans="1:22" ht="11.25" customHeight="1">
      <c r="A60" s="101" t="s">
        <v>424</v>
      </c>
      <c r="D60" s="531">
        <f>((VLOOKUP(J1,[2]DATA!A3:AA288,22,FALSE))*J58)/100</f>
        <v>0</v>
      </c>
      <c r="E60" s="519"/>
      <c r="F60" s="101" t="s">
        <v>399</v>
      </c>
      <c r="G60" s="122">
        <f>[2]OPEN!$N$25</f>
        <v>3780</v>
      </c>
      <c r="H60" s="117"/>
      <c r="I60" s="499" t="s">
        <v>292</v>
      </c>
      <c r="J60" s="113">
        <f>L60/G60</f>
        <v>0</v>
      </c>
      <c r="K60" s="141"/>
      <c r="L60" s="440">
        <f>IF(E60&gt;D60,D60,E60)</f>
        <v>0</v>
      </c>
      <c r="M60" s="440" t="s">
        <v>488</v>
      </c>
      <c r="N60" s="439"/>
      <c r="O60" s="439"/>
      <c r="P60" s="439"/>
      <c r="Q60" s="439"/>
      <c r="R60" s="455"/>
      <c r="S60" s="455"/>
      <c r="T60" s="103"/>
      <c r="U60" s="103"/>
      <c r="V60" s="103"/>
    </row>
    <row r="61" spans="1:22" ht="13.5" customHeight="1">
      <c r="D61" s="117" t="s">
        <v>437</v>
      </c>
      <c r="E61" s="518" t="s">
        <v>438</v>
      </c>
      <c r="G61" s="122"/>
      <c r="H61" s="117"/>
      <c r="J61" s="517"/>
      <c r="K61" s="141"/>
      <c r="L61" s="520" t="str">
        <f>IF(E60&gt;D60,"**Entered Cost of Living is greater than allowed, will use maximum!","")</f>
        <v/>
      </c>
      <c r="M61" s="443"/>
      <c r="N61" s="439"/>
      <c r="O61" s="439"/>
      <c r="P61" s="439"/>
      <c r="Q61" s="439"/>
      <c r="R61" s="455"/>
      <c r="S61" s="455"/>
      <c r="T61" s="103"/>
      <c r="U61" s="103"/>
      <c r="V61" s="103"/>
    </row>
    <row r="62" spans="1:22" ht="3" customHeight="1">
      <c r="D62" s="117"/>
      <c r="E62" s="518"/>
      <c r="G62" s="122"/>
      <c r="H62" s="117"/>
      <c r="J62" s="517"/>
      <c r="K62" s="141"/>
      <c r="L62" s="440"/>
      <c r="M62" s="443"/>
      <c r="N62" s="439"/>
      <c r="O62" s="439"/>
      <c r="P62" s="439"/>
      <c r="Q62" s="439"/>
      <c r="R62" s="455"/>
      <c r="S62" s="455"/>
      <c r="T62" s="103"/>
      <c r="U62" s="103"/>
      <c r="V62" s="103"/>
    </row>
    <row r="63" spans="1:22" ht="12.75" customHeight="1">
      <c r="A63" s="101" t="str">
        <f>"19.  Estimated " &amp; [2]OPEN!$P$4 &amp; " operating budget.  (Include Cost of Living and FHSU)"</f>
        <v>19.  Estimated 2011-2012 operating budget.  (Include Cost of Living and FHSU)</v>
      </c>
      <c r="E63" s="510">
        <f>E58+J60</f>
        <v>633.9</v>
      </c>
      <c r="F63" s="101" t="s">
        <v>396</v>
      </c>
      <c r="G63" s="122">
        <f>[2]OPEN!$N$25</f>
        <v>3780</v>
      </c>
      <c r="H63" s="117"/>
      <c r="I63" s="499" t="s">
        <v>292</v>
      </c>
      <c r="J63" s="472">
        <f>IF((ISERROR(L63)),(E63*G63),L63)</f>
        <v>2396142</v>
      </c>
      <c r="K63" s="141"/>
      <c r="L63" s="546" t="e">
        <f>VLOOKUP(J1,O289:S298,5,FALSE)</f>
        <v>#N/A</v>
      </c>
      <c r="M63" s="548" t="s">
        <v>559</v>
      </c>
      <c r="N63" s="439"/>
      <c r="O63" s="439"/>
      <c r="P63" s="439"/>
      <c r="Q63" s="439"/>
      <c r="R63" s="455"/>
      <c r="S63" s="455"/>
      <c r="T63" s="103"/>
      <c r="U63" s="103"/>
      <c r="V63" s="103"/>
    </row>
    <row r="64" spans="1:22" ht="4.5" customHeight="1">
      <c r="E64" s="516"/>
      <c r="G64" s="122"/>
      <c r="H64" s="117"/>
      <c r="I64" s="499"/>
      <c r="J64" s="517"/>
      <c r="K64" s="141"/>
      <c r="L64" s="546"/>
      <c r="M64" s="548"/>
      <c r="N64" s="439"/>
      <c r="O64" s="439"/>
      <c r="P64" s="439"/>
      <c r="Q64" s="439"/>
      <c r="R64" s="455"/>
      <c r="S64" s="455"/>
      <c r="T64" s="103"/>
      <c r="U64" s="103"/>
      <c r="V64" s="103"/>
    </row>
    <row r="65" spans="1:22" ht="15" customHeight="1">
      <c r="A65" s="132" t="s">
        <v>659</v>
      </c>
      <c r="E65" s="516"/>
      <c r="G65" s="122"/>
      <c r="H65" s="117"/>
      <c r="I65" s="698" t="s">
        <v>292</v>
      </c>
      <c r="J65" s="472">
        <f>'F149'!F39</f>
        <v>0</v>
      </c>
      <c r="K65" s="141"/>
      <c r="L65" s="781" t="str">
        <f>IF(J65=0,"Check Form 149 if you plan to transfer money to general","")</f>
        <v>Check Form 149 if you plan to transfer money to general</v>
      </c>
      <c r="M65" s="548"/>
      <c r="N65" s="439"/>
      <c r="O65" s="439"/>
      <c r="P65" s="439"/>
      <c r="Q65" s="439"/>
      <c r="R65" s="455"/>
      <c r="S65" s="455"/>
      <c r="T65" s="103"/>
      <c r="U65" s="103"/>
      <c r="V65" s="103"/>
    </row>
    <row r="66" spans="1:22" ht="3.75" customHeight="1">
      <c r="E66" s="516"/>
      <c r="G66" s="122"/>
      <c r="H66" s="117"/>
      <c r="I66" s="499"/>
      <c r="J66" s="517"/>
      <c r="K66" s="141"/>
      <c r="L66" s="546"/>
      <c r="M66" s="548"/>
      <c r="N66" s="439"/>
      <c r="O66" s="439"/>
      <c r="P66" s="439"/>
      <c r="Q66" s="439"/>
      <c r="R66" s="455"/>
      <c r="S66" s="455"/>
      <c r="T66" s="103"/>
      <c r="U66" s="103"/>
      <c r="V66" s="103"/>
    </row>
    <row r="67" spans="1:22" ht="16.5" customHeight="1">
      <c r="A67" s="132" t="s">
        <v>650</v>
      </c>
      <c r="E67" s="516"/>
      <c r="G67" s="122"/>
      <c r="H67" s="117"/>
      <c r="I67" s="698" t="s">
        <v>292</v>
      </c>
      <c r="J67" s="472">
        <f>J63+J65</f>
        <v>2396142</v>
      </c>
      <c r="K67" s="141"/>
      <c r="L67" s="573" t="s">
        <v>651</v>
      </c>
      <c r="M67" s="548"/>
      <c r="N67" s="439"/>
      <c r="O67" s="439"/>
      <c r="P67" s="439"/>
      <c r="Q67" s="439"/>
      <c r="R67" s="455"/>
      <c r="S67" s="455"/>
      <c r="T67" s="103"/>
      <c r="U67" s="103"/>
      <c r="V67" s="103"/>
    </row>
    <row r="68" spans="1:22" ht="15" customHeight="1">
      <c r="E68" s="459"/>
      <c r="G68" s="122"/>
      <c r="H68" s="117"/>
      <c r="J68" s="124"/>
      <c r="L68" s="572"/>
      <c r="M68" s="549"/>
      <c r="N68" s="103"/>
      <c r="O68" s="103"/>
      <c r="P68" s="103"/>
      <c r="Q68" s="103"/>
      <c r="R68" s="455"/>
      <c r="S68" s="455"/>
      <c r="T68" s="103"/>
      <c r="U68" s="103"/>
      <c r="V68" s="103"/>
    </row>
    <row r="69" spans="1:22" ht="12" customHeight="1">
      <c r="A69" s="504" t="s">
        <v>400</v>
      </c>
      <c r="B69" s="475"/>
      <c r="C69" s="475"/>
      <c r="D69" s="475"/>
      <c r="E69" s="128"/>
      <c r="J69" s="125"/>
      <c r="L69" s="573"/>
      <c r="M69" s="443"/>
      <c r="N69" s="439"/>
      <c r="O69" s="439"/>
      <c r="P69" s="439"/>
      <c r="Q69" s="439"/>
      <c r="R69" s="455"/>
      <c r="S69" s="455"/>
      <c r="T69" s="103"/>
      <c r="U69" s="103"/>
      <c r="V69" s="103"/>
    </row>
    <row r="70" spans="1:22" ht="16.5" customHeight="1">
      <c r="A70" s="578" t="str">
        <f>"22.  Estimated " &amp; [2]OPEN!$P$4 &amp; " LOB General Fund budget (excludes " &amp; [2]OPEN!$P$4 &amp; " Spec Ed and FHSU weightings &amp; includes 2008-09 Spec Ed)"</f>
        <v>22.  Estimated 2011-2012 LOB General Fund budget (excludes 2011-2012 Spec Ed and FHSU weightings &amp; includes 2008-09 Spec Ed)</v>
      </c>
      <c r="K70" s="460"/>
      <c r="L70" s="550"/>
      <c r="M70" s="550"/>
      <c r="N70" s="550"/>
      <c r="O70" s="551"/>
      <c r="P70" s="497"/>
      <c r="Q70" s="552"/>
      <c r="R70" s="497"/>
      <c r="S70" s="497"/>
    </row>
    <row r="71" spans="1:22" ht="16.5" customHeight="1">
      <c r="D71" s="102" t="str">
        <f>"          (Lines 3 through 13 + 15 + 18) =  " &amp; (E63-J52-J56) &amp; " x $4,433 = $" &amp; ROUND((E63-J52-J56)*4433,0) &amp; " + "</f>
        <v xml:space="preserve">          (Lines 3 through 13 + 15 + 18) =  548.8 x $4,433 = $2432830 + </v>
      </c>
      <c r="E71" s="589">
        <f>VLOOKUP(J1,[2]DATA!A3:AA288,23,FALSE)</f>
        <v>365920</v>
      </c>
      <c r="G71" s="101" t="s">
        <v>513</v>
      </c>
      <c r="I71" s="101" t="s">
        <v>292</v>
      </c>
      <c r="J71" s="472">
        <f>((E63-J52-J56)*4433)+E71</f>
        <v>2798750</v>
      </c>
      <c r="K71" s="460"/>
      <c r="L71" s="593" t="s">
        <v>652</v>
      </c>
      <c r="M71" s="550"/>
      <c r="N71" s="550"/>
      <c r="O71" s="551"/>
      <c r="P71" s="497"/>
      <c r="Q71" s="552"/>
      <c r="R71" s="497"/>
      <c r="S71" s="497"/>
    </row>
    <row r="72" spans="1:22" ht="16.5" customHeight="1">
      <c r="A72" s="577"/>
      <c r="K72" s="460"/>
      <c r="L72" s="609"/>
      <c r="M72" s="550"/>
      <c r="N72" s="550"/>
      <c r="O72" s="551"/>
      <c r="P72" s="497"/>
      <c r="Q72" s="552"/>
      <c r="R72" s="497"/>
      <c r="S72" s="497"/>
    </row>
    <row r="73" spans="1:22" ht="12" customHeight="1">
      <c r="A73" s="101" t="s">
        <v>401</v>
      </c>
      <c r="K73" s="428"/>
      <c r="L73" s="550"/>
      <c r="M73" s="550"/>
      <c r="N73" s="550"/>
      <c r="O73" s="551"/>
      <c r="P73" s="497"/>
      <c r="Q73" s="497"/>
      <c r="R73" s="497"/>
      <c r="S73" s="497"/>
    </row>
    <row r="74" spans="1:22" ht="12" customHeight="1">
      <c r="A74" s="101" t="str">
        <f>"     approved bilingual class on 9-20-"&amp;[2]OPEN!$Q$5&amp;" and dividing by 6 (cannot exceed 6 hours for an individual student).  Total"</f>
        <v xml:space="preserve">     approved bilingual class on 9-20-2011 and dividing by 6 (cannot exceed 6 hours for an individual student).  Total</v>
      </c>
      <c r="K74" s="126"/>
      <c r="L74" s="550"/>
      <c r="M74" s="550"/>
      <c r="N74" s="550"/>
      <c r="O74" s="551"/>
      <c r="P74" s="497"/>
      <c r="Q74" s="497"/>
      <c r="R74" s="497"/>
      <c r="S74" s="497"/>
    </row>
    <row r="75" spans="1:22" ht="12" customHeight="1">
      <c r="A75" s="101" t="s">
        <v>402</v>
      </c>
      <c r="B75" s="115">
        <f>[2]OPEN!$A$51</f>
        <v>0</v>
      </c>
      <c r="C75" s="101" t="s">
        <v>403</v>
      </c>
      <c r="D75" s="118">
        <f>B75/6</f>
        <v>0</v>
      </c>
      <c r="E75" s="101" t="s">
        <v>404</v>
      </c>
      <c r="L75" s="127"/>
      <c r="M75" s="127"/>
      <c r="N75" s="127"/>
      <c r="O75" s="441"/>
    </row>
    <row r="76" spans="1:22" ht="5.25" customHeight="1">
      <c r="L76" s="127"/>
      <c r="M76" s="127"/>
      <c r="N76" s="127"/>
      <c r="O76" s="441"/>
    </row>
    <row r="77" spans="1:22" ht="13.5" customHeight="1">
      <c r="A77" s="101" t="s">
        <v>47</v>
      </c>
      <c r="L77" s="127"/>
      <c r="M77" s="127"/>
      <c r="N77" s="127"/>
      <c r="O77" s="441"/>
    </row>
    <row r="78" spans="1:22" ht="13.5" customHeight="1">
      <c r="A78" s="101" t="str">
        <f>"     in an approved vocational class on 9-20-"&amp;[2]OPEN!$Q$5&amp;" and dividing by 6 (cannot exceed 6 hours for an individual student).  Total"</f>
        <v xml:space="preserve">     in an approved vocational class on 9-20-2011 and dividing by 6 (cannot exceed 6 hours for an individual student).  Total</v>
      </c>
      <c r="L78" s="127"/>
      <c r="M78" s="127"/>
      <c r="N78" s="127"/>
      <c r="O78" s="441"/>
      <c r="P78" s="132"/>
      <c r="Q78" s="132"/>
      <c r="R78" s="132"/>
      <c r="S78" s="132"/>
    </row>
    <row r="79" spans="1:22" ht="11.25" customHeight="1">
      <c r="A79" s="101" t="s">
        <v>402</v>
      </c>
      <c r="B79" s="115">
        <f>[2]OPEN!$A$50</f>
        <v>46</v>
      </c>
      <c r="C79" s="101" t="s">
        <v>403</v>
      </c>
      <c r="D79" s="118">
        <f>B79/6</f>
        <v>7.6666999999999996</v>
      </c>
      <c r="E79" s="101" t="s">
        <v>48</v>
      </c>
    </row>
    <row r="80" spans="1:22" ht="6" customHeight="1"/>
    <row r="81" spans="1:10" ht="12" customHeight="1">
      <c r="A81" s="101" t="s">
        <v>49</v>
      </c>
    </row>
    <row r="82" spans="1:10" ht="12" customHeight="1">
      <c r="A82" s="101" t="s">
        <v>416</v>
      </c>
    </row>
    <row r="83" spans="1:10" ht="12" customHeight="1">
      <c r="A83" s="101" t="s">
        <v>50</v>
      </c>
    </row>
    <row r="84" spans="1:10" ht="12" customHeight="1">
      <c r="A84" s="101" t="s">
        <v>51</v>
      </c>
    </row>
    <row r="85" spans="1:10" ht="12" customHeight="1">
      <c r="A85" s="101" t="s">
        <v>463</v>
      </c>
    </row>
    <row r="86" spans="1:10" ht="12" customHeight="1">
      <c r="A86" s="101" t="str">
        <f>"(g) "&amp;[2]OPEN!$O$4&amp;" Non Proficient students (excluding free students)."</f>
        <v>(g) 2010-2011 Non Proficient students (excluding free students).</v>
      </c>
    </row>
    <row r="87" spans="1:10" ht="14.25" customHeight="1">
      <c r="A87" s="496" t="s">
        <v>52</v>
      </c>
    </row>
    <row r="88" spans="1:10" ht="15.75" customHeight="1">
      <c r="D88" s="102"/>
    </row>
    <row r="89" spans="1:10" ht="12" customHeight="1">
      <c r="A89" s="795" t="s">
        <v>471</v>
      </c>
      <c r="B89" s="795"/>
      <c r="C89" s="795"/>
      <c r="D89" s="795"/>
      <c r="E89" s="795"/>
      <c r="F89" s="106"/>
      <c r="G89" s="428" t="s">
        <v>361</v>
      </c>
      <c r="H89" s="483"/>
      <c r="I89" s="106"/>
      <c r="J89" s="484">
        <f>J1</f>
        <v>395</v>
      </c>
    </row>
    <row r="90" spans="1:10" ht="12.75" customHeight="1">
      <c r="A90" s="795" t="s">
        <v>53</v>
      </c>
      <c r="B90" s="795"/>
      <c r="C90" s="795"/>
      <c r="D90" s="795"/>
      <c r="E90" s="795"/>
      <c r="F90" s="795"/>
      <c r="G90" s="795"/>
      <c r="H90" s="795"/>
      <c r="I90" s="795"/>
      <c r="J90" s="795"/>
    </row>
    <row r="91" spans="1:10" ht="12" customHeight="1">
      <c r="A91" s="106"/>
      <c r="B91" s="106"/>
      <c r="C91" s="106"/>
      <c r="D91" s="106"/>
      <c r="E91" s="106"/>
      <c r="F91" s="106"/>
      <c r="G91" s="106"/>
      <c r="H91" s="106"/>
      <c r="I91" s="106"/>
      <c r="J91" s="106"/>
    </row>
    <row r="93" spans="1:10" ht="12" customHeight="1">
      <c r="A93" s="101" t="str">
        <f>"1.  September 20, "&amp;[2]OPEN!$P$5&amp;", FTE  and February 20, "&amp;[2]OPEN!$Q$5&amp;" FTE enrollment (Excludes 4 yr old at risk students.)"</f>
        <v>1.  September 20, 2010, FTE  and February 20, 2011 FTE enrollment (Excludes 4 yr old at risk students.)</v>
      </c>
      <c r="I93" s="101" t="s">
        <v>292</v>
      </c>
      <c r="J93" s="113">
        <f>[2]OPEN!$A$45</f>
        <v>293</v>
      </c>
    </row>
    <row r="94" spans="1:10" ht="11.25" customHeight="1">
      <c r="J94" s="102"/>
    </row>
    <row r="95" spans="1:10" ht="12.75" customHeight="1">
      <c r="A95" s="101" t="str">
        <f>"2.  September 20, "&amp;[2]OPEN!$Q$5&amp;", FTE enrollment (Excludes 4 yr old at risk students.)"</f>
        <v>2.  September 20, 2011, FTE enrollment (Excludes 4 yr old at risk students.)</v>
      </c>
      <c r="I95" s="101" t="s">
        <v>292</v>
      </c>
      <c r="J95" s="113">
        <f>[2]OPEN!$A$46</f>
        <v>302</v>
      </c>
    </row>
    <row r="96" spans="1:10" ht="12" customHeight="1">
      <c r="J96" s="114"/>
    </row>
    <row r="97" spans="1:16" ht="12" customHeight="1">
      <c r="A97" s="101" t="s">
        <v>54</v>
      </c>
      <c r="B97" s="131">
        <f>[2]OPEN!$A$44</f>
        <v>294.5</v>
      </c>
      <c r="C97" s="117" t="s">
        <v>55</v>
      </c>
      <c r="D97" s="131">
        <f>J93</f>
        <v>293</v>
      </c>
      <c r="E97" s="109" t="s">
        <v>55</v>
      </c>
      <c r="J97" s="114"/>
    </row>
    <row r="98" spans="1:16" ht="12" customHeight="1">
      <c r="B98" s="117" t="str">
        <f>"(9/20/"&amp;[2]OPEN!$O$5&amp;" FTE)*"</f>
        <v>(9/20/2009 FTE)*</v>
      </c>
      <c r="D98" s="117" t="s">
        <v>56</v>
      </c>
      <c r="J98" s="114"/>
    </row>
    <row r="99" spans="1:16" ht="12" customHeight="1">
      <c r="B99" s="131">
        <f>J95</f>
        <v>302</v>
      </c>
      <c r="C99" s="117" t="s">
        <v>57</v>
      </c>
      <c r="D99" s="131">
        <f>(B97+D97+B99)/3</f>
        <v>296.5</v>
      </c>
      <c r="I99" s="101" t="s">
        <v>292</v>
      </c>
      <c r="J99" s="113">
        <f>D99</f>
        <v>296.5</v>
      </c>
      <c r="N99" s="130"/>
    </row>
    <row r="100" spans="1:16" ht="12" customHeight="1">
      <c r="B100" s="117" t="s">
        <v>59</v>
      </c>
      <c r="D100" s="117" t="s">
        <v>60</v>
      </c>
      <c r="J100" s="114"/>
    </row>
    <row r="101" spans="1:16" ht="12" customHeight="1">
      <c r="A101" s="101" t="str">
        <f>"     * Excludes 4 yr old at risk students, but includes 2/20/"&amp;[2]OPEN!$P$5&amp;" military students."</f>
        <v xml:space="preserve">     * Excludes 4 yr old at risk students, but includes 2/20/2010 military students.</v>
      </c>
      <c r="B101" s="117"/>
      <c r="D101" s="117"/>
      <c r="J101" s="114"/>
    </row>
    <row r="102" spans="1:16" ht="12" customHeight="1">
      <c r="J102" s="102"/>
    </row>
    <row r="103" spans="1:16" ht="12" customHeight="1">
      <c r="A103" s="101" t="s">
        <v>501</v>
      </c>
      <c r="I103" s="101" t="s">
        <v>292</v>
      </c>
      <c r="J103" s="113">
        <f>MAX(J93,J95,J99)</f>
        <v>302</v>
      </c>
    </row>
    <row r="104" spans="1:16" ht="12" customHeight="1">
      <c r="J104" s="114"/>
    </row>
    <row r="105" spans="1:16" ht="12" customHeight="1">
      <c r="A105" s="137"/>
      <c r="B105" s="137"/>
      <c r="C105" s="137"/>
      <c r="D105" s="137"/>
      <c r="E105" s="137"/>
      <c r="F105" s="137"/>
      <c r="G105" s="137"/>
      <c r="H105" s="137"/>
      <c r="I105" s="137"/>
      <c r="J105" s="542"/>
    </row>
    <row r="107" spans="1:16" ht="12" customHeight="1">
      <c r="A107" s="106" t="s">
        <v>61</v>
      </c>
      <c r="B107" s="107"/>
      <c r="C107" s="107"/>
      <c r="D107" s="107"/>
      <c r="E107" s="107"/>
      <c r="F107" s="107"/>
      <c r="G107" s="107"/>
      <c r="H107" s="107"/>
      <c r="I107" s="107"/>
      <c r="J107" s="107"/>
    </row>
    <row r="108" spans="1:16" ht="12" customHeight="1">
      <c r="A108" s="106" t="s">
        <v>414</v>
      </c>
      <c r="B108" s="106"/>
      <c r="C108" s="106"/>
      <c r="D108" s="106"/>
      <c r="E108" s="106"/>
      <c r="F108" s="106"/>
      <c r="G108" s="106"/>
      <c r="H108" s="106"/>
      <c r="I108" s="106"/>
      <c r="J108" s="106"/>
    </row>
    <row r="109" spans="1:16" ht="12" customHeight="1">
      <c r="A109" s="110" t="s">
        <v>62</v>
      </c>
      <c r="E109" s="110" t="s">
        <v>63</v>
      </c>
      <c r="L109" s="553" t="s">
        <v>112</v>
      </c>
      <c r="P109" s="421"/>
    </row>
    <row r="110" spans="1:16" ht="12" customHeight="1">
      <c r="L110" s="554">
        <f>MAX(J93,J95,J99)</f>
        <v>302</v>
      </c>
      <c r="M110" s="133"/>
      <c r="N110" s="133"/>
    </row>
    <row r="111" spans="1:16" ht="12" customHeight="1">
      <c r="A111" s="101" t="s">
        <v>64</v>
      </c>
      <c r="E111" s="102">
        <v>1.0143310000000001</v>
      </c>
      <c r="M111" s="133"/>
    </row>
    <row r="112" spans="1:16" ht="12" customHeight="1">
      <c r="A112" s="101" t="s">
        <v>65</v>
      </c>
      <c r="E112" s="102" t="s">
        <v>317</v>
      </c>
      <c r="N112" s="134"/>
    </row>
    <row r="113" spans="1:83" ht="12" customHeight="1">
      <c r="A113" s="101" t="s">
        <v>444</v>
      </c>
      <c r="E113" s="102" t="s">
        <v>316</v>
      </c>
    </row>
    <row r="114" spans="1:83" ht="12" customHeight="1">
      <c r="A114" s="101" t="s">
        <v>445</v>
      </c>
      <c r="E114" s="102">
        <v>3.5040000000000002E-2</v>
      </c>
      <c r="N114" s="135"/>
    </row>
    <row r="116" spans="1:83" ht="12" customHeight="1">
      <c r="A116" s="101" t="str">
        <f>"'E' is 9-20-"&amp;[2]OPEN!$Q$5&amp;" Adjusted FTE Enrollment (from Page 1, line 3)"</f>
        <v>'E' is 9-20-2011 Adjusted FTE Enrollment (from Page 1, line 3)</v>
      </c>
      <c r="N116" s="130"/>
    </row>
    <row r="118" spans="1:83" ht="12" customHeight="1">
      <c r="A118" s="110" t="s">
        <v>66</v>
      </c>
      <c r="E118" s="101" t="s">
        <v>199</v>
      </c>
      <c r="N118" s="130"/>
    </row>
    <row r="119" spans="1:83" ht="12" customHeight="1">
      <c r="E119" s="101" t="str">
        <f>"SEE "&amp;[2]OPEN!$P$4&amp;" LOW ENROLLMENT"</f>
        <v>SEE 2011-2012 LOW ENROLLMENT</v>
      </c>
    </row>
    <row r="120" spans="1:83" ht="12" customHeight="1">
      <c r="A120" s="132" t="s">
        <v>213</v>
      </c>
      <c r="E120" s="101" t="s">
        <v>415</v>
      </c>
    </row>
    <row r="121" spans="1:83" ht="12" customHeight="1">
      <c r="A121" s="132" t="s">
        <v>214</v>
      </c>
      <c r="E121" s="101" t="s">
        <v>218</v>
      </c>
      <c r="L121" s="112"/>
    </row>
    <row r="122" spans="1:83" ht="12" customHeight="1">
      <c r="A122" s="132" t="s">
        <v>215</v>
      </c>
    </row>
    <row r="123" spans="1:83" ht="12" customHeight="1">
      <c r="A123" s="132" t="s">
        <v>216</v>
      </c>
    </row>
    <row r="124" spans="1:83" s="136" customFormat="1" ht="12" customHeight="1">
      <c r="A124" s="132" t="s">
        <v>217</v>
      </c>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c r="Z124" s="101"/>
      <c r="AA124" s="101"/>
      <c r="AB124" s="101"/>
      <c r="AC124" s="101"/>
      <c r="AD124" s="101"/>
      <c r="AE124" s="101"/>
      <c r="AF124" s="101"/>
      <c r="AG124" s="101"/>
      <c r="AH124" s="101"/>
      <c r="AI124" s="101"/>
      <c r="AJ124" s="101"/>
      <c r="AK124" s="101"/>
      <c r="AL124" s="101"/>
      <c r="AM124" s="101"/>
      <c r="AN124" s="101"/>
      <c r="AO124" s="101"/>
      <c r="AP124" s="101"/>
      <c r="AQ124" s="101"/>
      <c r="AR124" s="101"/>
      <c r="AS124" s="101"/>
      <c r="AT124" s="101"/>
      <c r="AU124" s="101"/>
      <c r="AV124" s="101"/>
      <c r="AW124" s="101"/>
      <c r="AX124" s="101"/>
      <c r="AY124" s="101"/>
      <c r="AZ124" s="101"/>
      <c r="BA124" s="101"/>
      <c r="BB124" s="101"/>
      <c r="BC124" s="101"/>
      <c r="BD124" s="101"/>
      <c r="BE124" s="101"/>
      <c r="BF124" s="101"/>
      <c r="BG124" s="101"/>
      <c r="BH124" s="101"/>
      <c r="BI124" s="101"/>
      <c r="BJ124" s="101"/>
      <c r="BK124" s="101"/>
      <c r="BL124" s="101"/>
      <c r="BM124" s="101"/>
      <c r="BN124" s="101"/>
      <c r="BO124" s="101"/>
      <c r="BP124" s="101"/>
      <c r="BQ124" s="101"/>
      <c r="BR124" s="101"/>
      <c r="BS124" s="101"/>
      <c r="BT124" s="101"/>
      <c r="BU124" s="101"/>
      <c r="BV124" s="101"/>
      <c r="BW124" s="101"/>
      <c r="BX124" s="101"/>
      <c r="BY124" s="101"/>
      <c r="BZ124" s="101"/>
      <c r="CA124" s="101"/>
      <c r="CB124" s="101"/>
      <c r="CC124" s="101"/>
      <c r="CD124" s="101"/>
      <c r="CE124" s="101"/>
    </row>
    <row r="125" spans="1:83" ht="12" customHeight="1">
      <c r="A125" s="561">
        <v>0.26199099999999997</v>
      </c>
      <c r="B125" s="137"/>
      <c r="C125" s="137"/>
      <c r="D125" s="137"/>
      <c r="E125" s="137"/>
      <c r="F125" s="137"/>
      <c r="G125" s="137"/>
      <c r="H125" s="137"/>
      <c r="I125" s="137"/>
      <c r="J125" s="137"/>
      <c r="L125" s="132" t="s">
        <v>417</v>
      </c>
      <c r="M125" s="126"/>
    </row>
    <row r="126" spans="1:83" ht="12" customHeight="1">
      <c r="L126" s="132" t="b">
        <f>J16&lt;99.9</f>
        <v>0</v>
      </c>
      <c r="M126" s="132">
        <f>E111</f>
        <v>1.0143310000000001</v>
      </c>
      <c r="Z126"/>
      <c r="AA126" t="s">
        <v>318</v>
      </c>
      <c r="AB126"/>
      <c r="AC126"/>
      <c r="AD126"/>
      <c r="AE126"/>
      <c r="AF126"/>
    </row>
    <row r="127" spans="1:83" ht="12" customHeight="1">
      <c r="A127" s="106" t="s">
        <v>201</v>
      </c>
      <c r="B127" s="107"/>
      <c r="C127" s="107"/>
      <c r="D127" s="107"/>
      <c r="E127" s="107"/>
      <c r="F127" s="107"/>
      <c r="G127" s="107"/>
      <c r="H127" s="107"/>
      <c r="I127" s="107"/>
      <c r="J127" s="107"/>
      <c r="L127" s="132" t="b">
        <f>AND(J16&gt;=100,J16&lt;=299.9)</f>
        <v>0</v>
      </c>
      <c r="M127" s="562">
        <f>Q133</f>
        <v>0.47888500000000001</v>
      </c>
      <c r="Z127">
        <v>2005</v>
      </c>
      <c r="AA127">
        <f>954-300</f>
        <v>654</v>
      </c>
      <c r="AB127">
        <f>1.2375*AA127</f>
        <v>809.32500000000005</v>
      </c>
      <c r="AC127">
        <f>5406-AB127</f>
        <v>4596.6750000000002</v>
      </c>
      <c r="AD127" s="461">
        <f>AC127/3426</f>
        <v>1.3417030000000001</v>
      </c>
      <c r="AE127" s="461">
        <f>AD127-1</f>
        <v>0.34170299999999998</v>
      </c>
      <c r="AF127" s="461">
        <f>((5406-1.2375*(954-300))/3426)-1</f>
        <v>0.34170299999999998</v>
      </c>
    </row>
    <row r="128" spans="1:83" ht="12" customHeight="1">
      <c r="A128" s="106" t="s">
        <v>202</v>
      </c>
      <c r="B128" s="107"/>
      <c r="C128" s="107"/>
      <c r="D128" s="107"/>
      <c r="E128" s="107"/>
      <c r="F128" s="107"/>
      <c r="G128" s="107"/>
      <c r="H128" s="107"/>
      <c r="I128" s="107"/>
      <c r="J128" s="107"/>
      <c r="L128" s="563" t="b">
        <f>AND(J16&gt;=300,J16&lt;=1621.9)</f>
        <v>1</v>
      </c>
      <c r="M128" s="562">
        <f>Q134</f>
        <v>0.48350700000000002</v>
      </c>
      <c r="Z128">
        <v>2006</v>
      </c>
      <c r="AA128">
        <f>954-300</f>
        <v>654</v>
      </c>
      <c r="AB128">
        <f>1.2375*AA128</f>
        <v>809.32500000000005</v>
      </c>
      <c r="AC128">
        <f>5406-AB128</f>
        <v>4596.6750000000002</v>
      </c>
      <c r="AD128" s="461">
        <f>AC128/3642.4</f>
        <v>1.2619910000000001</v>
      </c>
      <c r="AE128" s="461">
        <f>AD128-1</f>
        <v>0.26199099999999997</v>
      </c>
      <c r="AF128" s="461">
        <f>((5406-1.2375*(954-300))/3642.4)-1</f>
        <v>0.26199099999999997</v>
      </c>
    </row>
    <row r="129" spans="1:17" ht="12" customHeight="1">
      <c r="A129" s="106"/>
      <c r="B129" s="107"/>
      <c r="C129" s="107"/>
      <c r="D129" s="107"/>
      <c r="E129" s="107"/>
      <c r="F129" s="107"/>
      <c r="G129" s="107"/>
      <c r="H129" s="107"/>
      <c r="I129" s="107"/>
      <c r="J129" s="107"/>
      <c r="L129" s="132" t="b">
        <f>J16&gt;=1622</f>
        <v>0</v>
      </c>
      <c r="M129" s="132">
        <f>E114</f>
        <v>3.5040000000000002E-2</v>
      </c>
    </row>
    <row r="130" spans="1:17" ht="12" customHeight="1">
      <c r="A130" s="101" t="str">
        <f>"1.  Area of district in square miles 9-20-"&amp;[2]OPEN!$Q$5&amp;"."</f>
        <v>1.  Area of district in square miles 9-20-2011.</v>
      </c>
      <c r="I130" s="101" t="s">
        <v>292</v>
      </c>
      <c r="J130" s="113">
        <f>[2]OPEN!$A$81</f>
        <v>486</v>
      </c>
    </row>
    <row r="131" spans="1:17" ht="12" customHeight="1">
      <c r="J131" s="102"/>
    </row>
    <row r="132" spans="1:17" ht="12" customHeight="1">
      <c r="A132" s="101" t="str">
        <f>"2.  All public pupils transported or for whom transportation is being made available 9-20-"&amp;[2]OPEN!$Q$5</f>
        <v>2.  All public pupils transported or for whom transportation is being made available 9-20-2011</v>
      </c>
      <c r="J132" s="102"/>
    </row>
    <row r="133" spans="1:17" ht="12" customHeight="1">
      <c r="A133" s="101" t="s">
        <v>203</v>
      </c>
      <c r="E133" s="115">
        <f>[2]OPEN!$A$53</f>
        <v>95</v>
      </c>
      <c r="F133" s="101" t="s">
        <v>55</v>
      </c>
      <c r="G133" s="115">
        <f>J170</f>
        <v>0</v>
      </c>
      <c r="H133" s="117" t="s">
        <v>219</v>
      </c>
      <c r="I133" s="101" t="s">
        <v>292</v>
      </c>
      <c r="J133" s="113">
        <f>E133+G133</f>
        <v>95</v>
      </c>
      <c r="M133" s="564">
        <f>J16-100</f>
        <v>202</v>
      </c>
      <c r="N133" s="565">
        <f>9.655*M133</f>
        <v>1950.31</v>
      </c>
      <c r="O133" s="565">
        <f>7337-N133</f>
        <v>5386.69</v>
      </c>
      <c r="P133" s="566">
        <f>O133/3642.4</f>
        <v>1.478885</v>
      </c>
      <c r="Q133" s="566">
        <f>P133-1</f>
        <v>0.47888500000000001</v>
      </c>
    </row>
    <row r="134" spans="1:17" ht="12" customHeight="1">
      <c r="H134" s="117" t="s">
        <v>311</v>
      </c>
      <c r="J134" s="102"/>
      <c r="M134" s="567">
        <f>J16-300</f>
        <v>2</v>
      </c>
      <c r="N134" s="562">
        <f>1.2375*M134</f>
        <v>2.4750000000000001</v>
      </c>
      <c r="O134" s="132">
        <f>5406-N134</f>
        <v>5403.5249999999996</v>
      </c>
      <c r="P134" s="132">
        <f>O134/3642.4</f>
        <v>1.4835067537887101</v>
      </c>
      <c r="Q134" s="132">
        <f>P134-1</f>
        <v>0.48350675378871</v>
      </c>
    </row>
    <row r="135" spans="1:17" ht="12" customHeight="1">
      <c r="A135" s="101" t="s">
        <v>204</v>
      </c>
      <c r="C135" s="138"/>
      <c r="D135" s="115">
        <f>J133</f>
        <v>95</v>
      </c>
      <c r="E135" s="101" t="s">
        <v>67</v>
      </c>
      <c r="F135" s="138"/>
      <c r="G135" s="139">
        <f>J130</f>
        <v>486</v>
      </c>
      <c r="I135" s="101" t="s">
        <v>292</v>
      </c>
      <c r="J135" s="140">
        <f>D135/G135</f>
        <v>0.2</v>
      </c>
    </row>
    <row r="136" spans="1:17" ht="12" customHeight="1">
      <c r="J136" s="102"/>
    </row>
    <row r="137" spans="1:17" ht="12" customHeight="1">
      <c r="A137" s="101" t="s">
        <v>220</v>
      </c>
      <c r="I137" s="101" t="s">
        <v>292</v>
      </c>
      <c r="J137" s="560">
        <f>IF(J135&gt;9.73,0.1484,N151)</f>
        <v>0.34749999999999998</v>
      </c>
    </row>
    <row r="138" spans="1:17" ht="12" customHeight="1">
      <c r="J138" s="102"/>
    </row>
    <row r="139" spans="1:17" ht="12" customHeight="1">
      <c r="A139" s="101" t="str">
        <f>"5.  Estimated weighted FTE for transportation.  9-20-"&amp;[2]OPEN!$Q$5&amp;" number of resident students over"</f>
        <v>5.  Estimated weighted FTE for transportation.  9-20-2011 number of resident students over</v>
      </c>
      <c r="J139" s="102"/>
    </row>
    <row r="140" spans="1:17" ht="12" customHeight="1">
      <c r="A140" s="101" t="s">
        <v>68</v>
      </c>
      <c r="B140" s="115">
        <f>J133</f>
        <v>95</v>
      </c>
      <c r="C140" s="117" t="s">
        <v>396</v>
      </c>
      <c r="D140" s="118">
        <f>J137</f>
        <v>0.34749999999999998</v>
      </c>
      <c r="E140" s="101" t="s">
        <v>423</v>
      </c>
      <c r="I140" s="101" t="s">
        <v>292</v>
      </c>
      <c r="J140" s="113">
        <f>B140*D140</f>
        <v>33</v>
      </c>
    </row>
    <row r="143" spans="1:17" ht="12" customHeight="1">
      <c r="D143" s="102"/>
      <c r="O143" s="132" t="s">
        <v>663</v>
      </c>
    </row>
    <row r="145" spans="1:15" ht="12" customHeight="1">
      <c r="G145" s="102"/>
      <c r="J145" s="485"/>
      <c r="K145" s="141"/>
    </row>
    <row r="146" spans="1:15" ht="12" customHeight="1">
      <c r="A146" s="598"/>
      <c r="B146" s="106"/>
      <c r="C146" s="106"/>
      <c r="D146" s="795" t="s">
        <v>310</v>
      </c>
      <c r="E146" s="795"/>
      <c r="F146" s="106"/>
      <c r="G146" s="428" t="s">
        <v>361</v>
      </c>
      <c r="H146" s="599"/>
      <c r="I146" s="599"/>
      <c r="J146" s="600">
        <f>J1</f>
        <v>395</v>
      </c>
    </row>
    <row r="147" spans="1:15" ht="12" customHeight="1">
      <c r="A147" s="106" t="s">
        <v>305</v>
      </c>
      <c r="B147" s="106"/>
      <c r="C147" s="106"/>
      <c r="D147" s="106"/>
      <c r="E147" s="106"/>
      <c r="F147" s="106"/>
      <c r="G147" s="106"/>
      <c r="H147" s="106"/>
      <c r="I147" s="106"/>
      <c r="J147" s="106"/>
    </row>
    <row r="148" spans="1:15" ht="12" customHeight="1">
      <c r="L148" s="142"/>
      <c r="N148" s="143"/>
      <c r="O148" s="132"/>
    </row>
    <row r="149" spans="1:15" ht="12" customHeight="1">
      <c r="A149" s="101" t="str">
        <f>"1.  Estimated Adjusted 9-20-"&amp;[2]OPEN!$Q$5&amp;" FTE (Table 1, Line 4, Form 150)"</f>
        <v>1.  Estimated Adjusted 9-20-2011 FTE (Table 1, Line 4, Form 150)</v>
      </c>
      <c r="I149" s="101" t="s">
        <v>292</v>
      </c>
      <c r="J149" s="115">
        <f>J103</f>
        <v>302</v>
      </c>
      <c r="O149" s="132"/>
    </row>
    <row r="150" spans="1:15" ht="12" customHeight="1">
      <c r="J150" s="133"/>
      <c r="O150" s="132"/>
    </row>
    <row r="151" spans="1:15" ht="12" customHeight="1">
      <c r="A151" s="101" t="str">
        <f>"2.  Estimated 2-20-"&amp;[2]OPEN!$S$5&amp;" FTE (excludes 4 yr old at risk students) of new students of military"</f>
        <v>2.  Estimated 2-20-2012 FTE (excludes 4 yr old at risk students) of new students of military</v>
      </c>
      <c r="N151" s="425">
        <f>IF(ISERROR(VLOOKUP(J135,A289:B1261,2,FALSE)),0,(VLOOKUP(J135,A289:B1261,2,FALSE)))</f>
        <v>0.34749999999999998</v>
      </c>
      <c r="O151" s="144" t="s">
        <v>121</v>
      </c>
    </row>
    <row r="152" spans="1:15" ht="12" customHeight="1">
      <c r="A152" s="101" t="str">
        <f>"     families, not enrolled on 9-20-"&amp;[2]OPEN!$Q$5&amp;"  (Must be at least 25 FTE or 1% of Line 1.  If it doesn't"</f>
        <v xml:space="preserve">     families, not enrolled on 9-20-2011  (Must be at least 25 FTE or 1% of Line 1.  If it doesn't</v>
      </c>
      <c r="G152" s="115">
        <f>[2]OPEN!$A$63</f>
        <v>0</v>
      </c>
      <c r="I152" s="101" t="s">
        <v>292</v>
      </c>
      <c r="J152" s="115">
        <f>IF(OR(G152&gt;=25,G152&gt;=J149*0.01),G152,0)</f>
        <v>0</v>
      </c>
      <c r="L152" s="502" t="str">
        <f>IF(J152=0,"Does NOT qualify for the Military Provision!"," ")</f>
        <v>Does NOT qualify for the Military Provision!</v>
      </c>
    </row>
    <row r="153" spans="1:15" ht="12" customHeight="1">
      <c r="A153" s="132" t="s">
        <v>312</v>
      </c>
      <c r="G153" s="141"/>
      <c r="K153" s="143"/>
      <c r="L153" s="503" t="str">
        <f>IF(J152&gt;0,"Qualifies for the Military Provision."," ")</f>
        <v xml:space="preserve"> </v>
      </c>
    </row>
    <row r="155" spans="1:15" ht="12" customHeight="1">
      <c r="A155" s="101" t="str">
        <f>"3.  Estimated FTE Enrollment count for "&amp;[2]OPEN!$P$4&amp;" (Line 1 + Line 2) to Line 1, Form 150"</f>
        <v>3.  Estimated FTE Enrollment count for 2011-2012 (Line 1 + Line 2) to Line 1, Form 150</v>
      </c>
      <c r="I155" s="101" t="s">
        <v>292</v>
      </c>
      <c r="J155" s="115">
        <f>J149+J152</f>
        <v>302</v>
      </c>
    </row>
    <row r="157" spans="1:15" ht="12" customHeight="1">
      <c r="A157" s="441" t="s">
        <v>323</v>
      </c>
    </row>
    <row r="159" spans="1:15" ht="12.75" customHeight="1">
      <c r="A159" s="101" t="str">
        <f>"4.  Estimated 2-20-"&amp;[2]OPEN!$S$5&amp;" 4yr old FTE (add to Line 2, Form 150)"</f>
        <v>4.  Estimated 2-20-2012 4yr old FTE (add to Line 2, Form 150)</v>
      </c>
      <c r="I159" s="101" t="s">
        <v>292</v>
      </c>
      <c r="J159" s="115">
        <f>IF(J152=0,0,[2]OPEN!$A$64)</f>
        <v>0</v>
      </c>
    </row>
    <row r="161" spans="1:10" ht="12" customHeight="1">
      <c r="A161" s="101" t="str">
        <f>"5.  Estimated weighted bilingual education enrollment.  2-20-"&amp;[2]OPEN!$S$5&amp;" bilingual FTE (a)"</f>
        <v>5.  Estimated weighted bilingual education enrollment.  2-20-2012 bilingual FTE (a)</v>
      </c>
      <c r="G161" s="462">
        <f>D179</f>
        <v>0</v>
      </c>
      <c r="H161" s="101" t="str">
        <f>"x "&amp;[2]OPEN!$N$21</f>
        <v>x 0.395</v>
      </c>
      <c r="I161" s="101" t="s">
        <v>292</v>
      </c>
      <c r="J161" s="115">
        <f>G161*[2]OPEN!$N$21</f>
        <v>0</v>
      </c>
    </row>
    <row r="162" spans="1:10" ht="12" customHeight="1">
      <c r="A162" s="101" t="s">
        <v>324</v>
      </c>
    </row>
    <row r="163" spans="1:10" ht="15" customHeight="1"/>
    <row r="164" spans="1:10" ht="12" customHeight="1">
      <c r="A164" s="101" t="str">
        <f>"6.  Estimated weighted vocational education enrollment.  2-20-"&amp;[2]OPEN!$S$5&amp;" vocational education"</f>
        <v>6.  Estimated weighted vocational education enrollment.  2-20-2012 vocational education</v>
      </c>
    </row>
    <row r="165" spans="1:10" ht="12" customHeight="1">
      <c r="A165" s="101" t="s">
        <v>325</v>
      </c>
      <c r="B165" s="118">
        <f>D183</f>
        <v>0</v>
      </c>
      <c r="C165" s="101" t="s">
        <v>396</v>
      </c>
      <c r="D165" s="101" t="str">
        <f>[2]OPEN!$N$22&amp;" (add to Line 6, Form 150)"</f>
        <v>0.5 (add to Line 6, Form 150)</v>
      </c>
      <c r="I165" s="101" t="s">
        <v>292</v>
      </c>
      <c r="J165" s="115">
        <f>B165*[2]OPEN!$N$22</f>
        <v>0</v>
      </c>
    </row>
    <row r="167" spans="1:10" ht="12" customHeight="1">
      <c r="A167" s="101" t="s">
        <v>229</v>
      </c>
    </row>
    <row r="168" spans="1:10" ht="12" customHeight="1">
      <c r="A168" s="101" t="str">
        <f>"     free lunches as of 2-20-"&amp;[2]OPEN!$S$5</f>
        <v xml:space="preserve">     free lunches as of 2-20-2012</v>
      </c>
      <c r="D168" s="514">
        <f>IF(J152=0,0,[2]OPEN!$A$65)</f>
        <v>0</v>
      </c>
      <c r="E168" s="101" t="str">
        <f>"x "&amp;[2]OPEN!$N$23&amp;" (add to Line 7, Form 150)"</f>
        <v>x 0.456 (add to Line 7, Form 150)</v>
      </c>
      <c r="I168" s="101" t="s">
        <v>292</v>
      </c>
      <c r="J168" s="115">
        <f>D168*[2]OPEN!$N$23</f>
        <v>0</v>
      </c>
    </row>
    <row r="169" spans="1:10" ht="12" customHeight="1">
      <c r="D169" s="128"/>
      <c r="J169" s="133"/>
    </row>
    <row r="170" spans="1:10" ht="12" customHeight="1">
      <c r="A170" s="101" t="str">
        <f>"8.  Estimated 2-20-"&amp;[2]OPEN!$S$5&amp;" FTE of new students of military families, not enrolled on 9-20-"&amp;[2]OPEN!$Q$5&amp;" transported or for whom"</f>
        <v>8.  Estimated 2-20-2012 FTE of new students of military families, not enrolled on 9-20-2011 transported or for whom</v>
      </c>
      <c r="I170" s="101" t="s">
        <v>292</v>
      </c>
      <c r="J170" s="115">
        <f>IF(J152=0,0,[2]OPEN!$A$69)</f>
        <v>0</v>
      </c>
    </row>
    <row r="171" spans="1:10" ht="12" customHeight="1">
      <c r="A171" s="101" t="str">
        <f>"     transportation is being made available 2-20-"&amp;[2]OPEN!$S$5&amp;" who reside in the district 2.5 miles or more"</f>
        <v xml:space="preserve">     transportation is being made available 2-20-2012 who reside in the district 2.5 miles or more</v>
      </c>
    </row>
    <row r="172" spans="1:10" ht="12" customHeight="1">
      <c r="A172" s="101" t="s">
        <v>327</v>
      </c>
    </row>
    <row r="174" spans="1:10" ht="12" customHeight="1">
      <c r="A174" s="101" t="str">
        <f>"9.  Estimated weighted 2-20-"&amp;[2]OPEN!$S$5&amp;" FTE for New Facilities (d)"</f>
        <v>9.  Estimated weighted 2-20-2012 FTE for New Facilities (d)</v>
      </c>
      <c r="E174" s="102" t="s">
        <v>77</v>
      </c>
      <c r="G174" s="115">
        <f>IF(J152=0,0,[2]OPEN!$A$68)</f>
        <v>0</v>
      </c>
      <c r="H174" s="101" t="str">
        <f>"x "&amp;[2]OPEN!$N$24</f>
        <v>x 0.25</v>
      </c>
      <c r="I174" s="101" t="s">
        <v>292</v>
      </c>
      <c r="J174" s="115">
        <f>G174*[2]OPEN!$N$24</f>
        <v>0</v>
      </c>
    </row>
    <row r="175" spans="1:10" ht="12" customHeight="1">
      <c r="A175" s="101" t="s">
        <v>436</v>
      </c>
    </row>
    <row r="177" spans="1:10" ht="12.75" customHeight="1">
      <c r="A177" s="101" t="s">
        <v>301</v>
      </c>
    </row>
    <row r="178" spans="1:10" ht="12" customHeight="1">
      <c r="A178" s="101" t="str">
        <f>"     approved bilingual class on 2-20-"&amp;[2]OPEN!$S$5&amp;" and dividing by 6 (cannot exceed 6 hours for an individual student).   Total"</f>
        <v xml:space="preserve">     approved bilingual class on 2-20-2012 and dividing by 6 (cannot exceed 6 hours for an individual student).   Total</v>
      </c>
    </row>
    <row r="179" spans="1:10" ht="12" customHeight="1">
      <c r="A179" s="101" t="s">
        <v>303</v>
      </c>
      <c r="B179" s="115">
        <f>IF(J152=0,0,[2]OPEN!$A$67)</f>
        <v>0</v>
      </c>
      <c r="C179" s="101" t="s">
        <v>403</v>
      </c>
      <c r="D179" s="462">
        <f>B179/6</f>
        <v>0</v>
      </c>
      <c r="E179" s="101" t="s">
        <v>304</v>
      </c>
    </row>
    <row r="181" spans="1:10" ht="12" customHeight="1">
      <c r="A181" s="101" t="s">
        <v>108</v>
      </c>
    </row>
    <row r="182" spans="1:10" ht="12" customHeight="1">
      <c r="A182" s="101" t="str">
        <f>"     approved vocational class on 2-20-"&amp;[2]OPEN!$S$5&amp;" and dividing by 6 (cannot exceed 6 hours for an individual student).   Total"</f>
        <v xml:space="preserve">     approved vocational class on 2-20-2012 and dividing by 6 (cannot exceed 6 hours for an individual student).   Total</v>
      </c>
    </row>
    <row r="183" spans="1:10" ht="12" customHeight="1">
      <c r="A183" s="101" t="s">
        <v>303</v>
      </c>
      <c r="B183" s="115">
        <f>IF(J152=0,0,[2]OPEN!$A$66)</f>
        <v>0</v>
      </c>
      <c r="C183" s="101" t="s">
        <v>403</v>
      </c>
      <c r="D183" s="462">
        <f>B183/6</f>
        <v>0</v>
      </c>
      <c r="E183" s="101" t="s">
        <v>256</v>
      </c>
    </row>
    <row r="184" spans="1:10" ht="12" customHeight="1">
      <c r="B184" s="458"/>
      <c r="D184" s="457"/>
    </row>
    <row r="185" spans="1:10" ht="12" customHeight="1">
      <c r="A185" s="101" t="s">
        <v>49</v>
      </c>
      <c r="B185" s="458"/>
      <c r="D185" s="457"/>
    </row>
    <row r="186" spans="1:10" ht="12" customHeight="1">
      <c r="B186" s="458"/>
      <c r="D186" s="457"/>
    </row>
    <row r="187" spans="1:10" ht="12" customHeight="1">
      <c r="A187" s="101" t="str">
        <f>A82</f>
        <v>(d)  In order to access new facilities weighting, a USD must have adopted at least a 25% LOB.</v>
      </c>
      <c r="B187" s="458"/>
      <c r="D187" s="457"/>
    </row>
    <row r="188" spans="1:10" ht="12" customHeight="1">
      <c r="A188" s="137"/>
      <c r="B188" s="137"/>
      <c r="C188" s="137"/>
      <c r="D188" s="137"/>
      <c r="E188" s="137"/>
      <c r="F188" s="137"/>
      <c r="G188" s="137"/>
      <c r="H188" s="137"/>
      <c r="I188" s="137"/>
      <c r="J188" s="137"/>
    </row>
    <row r="189" spans="1:10" ht="12" customHeight="1">
      <c r="G189" s="102"/>
      <c r="J189" s="485"/>
    </row>
    <row r="190" spans="1:10" ht="12" customHeight="1">
      <c r="A190" s="795" t="s">
        <v>472</v>
      </c>
      <c r="B190" s="795"/>
      <c r="C190" s="795"/>
      <c r="D190" s="795"/>
      <c r="E190" s="795"/>
      <c r="F190" s="795"/>
      <c r="G190" s="795"/>
      <c r="H190" s="795"/>
      <c r="I190" s="795"/>
      <c r="J190" s="795"/>
    </row>
    <row r="191" spans="1:10" ht="12" customHeight="1">
      <c r="A191" s="797" t="s">
        <v>464</v>
      </c>
      <c r="B191" s="797"/>
      <c r="C191" s="797"/>
      <c r="D191" s="797"/>
      <c r="E191" s="797"/>
      <c r="F191" s="797"/>
      <c r="G191" s="797"/>
      <c r="H191" s="797"/>
      <c r="I191" s="797"/>
      <c r="J191" s="797"/>
    </row>
    <row r="193" spans="1:10" ht="12" customHeight="1">
      <c r="A193" s="101" t="str">
        <f>"1.  Estimated 9/20/"&amp;[2]OPEN!$Q$5&amp;" FTE Virtual Enrollment"</f>
        <v>1.  Estimated 9/20/2011 FTE Virtual Enrollment</v>
      </c>
      <c r="E193" s="115">
        <f>[2]OPEN!$A$73</f>
        <v>0</v>
      </c>
      <c r="F193" s="101" t="s">
        <v>391</v>
      </c>
      <c r="G193" s="101">
        <v>1.05</v>
      </c>
      <c r="I193" s="499" t="s">
        <v>292</v>
      </c>
      <c r="J193" s="115">
        <f>E193*1.05</f>
        <v>0</v>
      </c>
    </row>
    <row r="195" spans="1:10" ht="12" customHeight="1">
      <c r="A195" s="101" t="s">
        <v>450</v>
      </c>
      <c r="E195" s="514">
        <f>[2]OPEN!$A$74</f>
        <v>0</v>
      </c>
      <c r="F195" s="101" t="s">
        <v>391</v>
      </c>
      <c r="G195" s="101">
        <v>0.25</v>
      </c>
      <c r="I195" s="499" t="s">
        <v>292</v>
      </c>
      <c r="J195" s="115">
        <f>E195*G195</f>
        <v>0</v>
      </c>
    </row>
    <row r="197" spans="1:10" ht="12" customHeight="1">
      <c r="A197" s="101" t="s">
        <v>451</v>
      </c>
    </row>
    <row r="198" spans="1:10" ht="12" customHeight="1">
      <c r="D198" s="117" t="s">
        <v>452</v>
      </c>
      <c r="E198" s="514">
        <f>[2]OPEN!$A$75</f>
        <v>0</v>
      </c>
      <c r="F198" s="101" t="s">
        <v>391</v>
      </c>
      <c r="G198" s="117" t="str">
        <f>".08 ="</f>
        <v>.08 =</v>
      </c>
      <c r="H198" s="115">
        <f>E198*0.08</f>
        <v>0</v>
      </c>
      <c r="I198" s="499"/>
    </row>
    <row r="199" spans="1:10" ht="12" customHeight="1">
      <c r="D199" s="117" t="s">
        <v>453</v>
      </c>
      <c r="E199" s="538">
        <f>[2]OPEN!$A$76</f>
        <v>0</v>
      </c>
      <c r="F199" s="101" t="s">
        <v>391</v>
      </c>
      <c r="G199" s="117" t="str">
        <f>".08 ="</f>
        <v>.08 =</v>
      </c>
      <c r="H199" s="539">
        <f>E199*0.08</f>
        <v>0</v>
      </c>
      <c r="J199" s="115">
        <f>H198+H199</f>
        <v>0</v>
      </c>
    </row>
    <row r="201" spans="1:10" ht="12" customHeight="1">
      <c r="A201" s="101" t="s">
        <v>366</v>
      </c>
      <c r="J201" s="115">
        <f>J193+J195+J199</f>
        <v>0</v>
      </c>
    </row>
    <row r="203" spans="1:10" ht="12" customHeight="1">
      <c r="A203" s="101" t="s">
        <v>456</v>
      </c>
    </row>
    <row r="204" spans="1:10" ht="12" customHeight="1">
      <c r="A204" s="101" t="s">
        <v>418</v>
      </c>
    </row>
    <row r="205" spans="1:10" ht="12" customHeight="1">
      <c r="A205" s="101" t="s">
        <v>457</v>
      </c>
    </row>
    <row r="206" spans="1:10" ht="12" customHeight="1">
      <c r="A206" s="101" t="s">
        <v>373</v>
      </c>
    </row>
    <row r="208" spans="1:10" ht="12" customHeight="1">
      <c r="A208" s="101" t="s">
        <v>374</v>
      </c>
    </row>
    <row r="209" spans="1:12" ht="12" customHeight="1">
      <c r="A209" s="101" t="s">
        <v>375</v>
      </c>
    </row>
    <row r="210" spans="1:12" ht="12" customHeight="1">
      <c r="A210" s="101" t="s">
        <v>466</v>
      </c>
    </row>
    <row r="211" spans="1:12" ht="12" customHeight="1">
      <c r="A211" s="101" t="s">
        <v>467</v>
      </c>
    </row>
    <row r="212" spans="1:12" ht="12" customHeight="1">
      <c r="A212" s="101" t="s">
        <v>378</v>
      </c>
    </row>
    <row r="213" spans="1:12" ht="12" customHeight="1">
      <c r="A213" s="101" t="s">
        <v>470</v>
      </c>
    </row>
    <row r="216" spans="1:12" ht="12" customHeight="1">
      <c r="A216" s="795" t="s">
        <v>384</v>
      </c>
      <c r="B216" s="795"/>
      <c r="C216" s="795"/>
      <c r="D216" s="795"/>
      <c r="E216" s="795"/>
      <c r="F216" s="795"/>
      <c r="G216" s="795"/>
      <c r="H216" s="795"/>
      <c r="I216" s="795"/>
      <c r="J216" s="795"/>
    </row>
    <row r="217" spans="1:12" ht="12" customHeight="1">
      <c r="A217" s="797" t="s">
        <v>476</v>
      </c>
      <c r="B217" s="797"/>
      <c r="C217" s="797"/>
      <c r="D217" s="797"/>
      <c r="E217" s="797"/>
      <c r="F217" s="797"/>
      <c r="G217" s="797"/>
      <c r="H217" s="797"/>
      <c r="I217" s="797"/>
      <c r="J217" s="797"/>
    </row>
    <row r="219" spans="1:12" ht="12" customHeight="1">
      <c r="A219" s="101" t="s">
        <v>477</v>
      </c>
    </row>
    <row r="220" spans="1:12" ht="12" customHeight="1">
      <c r="E220" s="505" t="str">
        <f>"(Page 1, Line 7 total students eligible for Free Lunches) / (Page 1, Line 3) = " &amp; B28 &amp; " + " &amp; D28 &amp; " / " &amp; J16 &amp; " = "</f>
        <v xml:space="preserve">(Page 1, Line 7 total students eligible for Free Lunches) / (Page 1, Line 3) = 123 + 0 / 302 = </v>
      </c>
      <c r="G220" s="521">
        <f>((B28+D28)/J16)</f>
        <v>0.4073</v>
      </c>
      <c r="I220" s="499" t="s">
        <v>292</v>
      </c>
      <c r="J220" s="543">
        <f>G220</f>
        <v>0.4073</v>
      </c>
    </row>
    <row r="221" spans="1:12" ht="12" customHeight="1">
      <c r="J221" s="102"/>
    </row>
    <row r="222" spans="1:12" ht="12" customHeight="1">
      <c r="A222" s="101" t="s">
        <v>478</v>
      </c>
      <c r="I222" s="499" t="s">
        <v>292</v>
      </c>
      <c r="J222" s="543">
        <f>VLOOKUP(J1,[2]DATA!A3:AA288,24,FALSE)</f>
        <v>0.39200000000000002</v>
      </c>
      <c r="L222" s="141"/>
    </row>
    <row r="223" spans="1:12" ht="12" customHeight="1">
      <c r="J223" s="102"/>
      <c r="L223" s="141"/>
    </row>
    <row r="224" spans="1:12" ht="12" customHeight="1">
      <c r="A224" s="101" t="s">
        <v>480</v>
      </c>
      <c r="B224" s="544">
        <f>VLOOKUP(J1,[2]DATA!A3:AA288,25,FALSE)</f>
        <v>0.40699999999999997</v>
      </c>
      <c r="C224" s="117" t="s">
        <v>55</v>
      </c>
      <c r="D224" s="544">
        <f>J220</f>
        <v>0.4073</v>
      </c>
      <c r="E224" s="109" t="s">
        <v>55</v>
      </c>
      <c r="J224" s="114"/>
      <c r="L224" s="141"/>
    </row>
    <row r="225" spans="1:12" ht="12" customHeight="1">
      <c r="B225" s="117" t="str">
        <f>"(9/20/"&amp;[2]OPEN!$O$5&amp;" %)*"</f>
        <v>(9/20/2009 %)*</v>
      </c>
      <c r="D225" s="117" t="s">
        <v>56</v>
      </c>
      <c r="J225" s="114"/>
      <c r="L225" s="141"/>
    </row>
    <row r="226" spans="1:12" ht="12" customHeight="1">
      <c r="B226" s="544">
        <f>J222</f>
        <v>0.39200000000000002</v>
      </c>
      <c r="C226" s="117" t="s">
        <v>57</v>
      </c>
      <c r="D226" s="544">
        <f>(B224+D224+B226)/3</f>
        <v>0.40210000000000001</v>
      </c>
      <c r="I226" s="101" t="s">
        <v>292</v>
      </c>
      <c r="J226" s="543">
        <f>D226</f>
        <v>0.40210000000000001</v>
      </c>
      <c r="L226" s="141"/>
    </row>
    <row r="227" spans="1:12" ht="12" customHeight="1">
      <c r="B227" s="117" t="s">
        <v>59</v>
      </c>
      <c r="D227" s="117" t="s">
        <v>60</v>
      </c>
      <c r="J227" s="114"/>
      <c r="L227" s="141"/>
    </row>
    <row r="228" spans="1:12" ht="12" customHeight="1">
      <c r="J228" s="102"/>
    </row>
    <row r="229" spans="1:12" ht="12" customHeight="1">
      <c r="A229" s="101" t="s">
        <v>479</v>
      </c>
      <c r="I229" s="499" t="s">
        <v>292</v>
      </c>
      <c r="J229" s="543">
        <f>MAX(J220,J222,J226)</f>
        <v>0.4073</v>
      </c>
    </row>
    <row r="230" spans="1:12" ht="12" customHeight="1">
      <c r="A230" s="137"/>
      <c r="B230" s="137"/>
      <c r="C230" s="137"/>
      <c r="D230" s="137"/>
      <c r="E230" s="137"/>
      <c r="F230" s="137"/>
      <c r="G230" s="137"/>
      <c r="H230" s="137"/>
      <c r="I230" s="540"/>
      <c r="J230" s="541"/>
    </row>
    <row r="231" spans="1:12" ht="13.5" customHeight="1"/>
    <row r="232" spans="1:12" ht="12" customHeight="1">
      <c r="A232" s="110" t="s">
        <v>192</v>
      </c>
    </row>
    <row r="234" spans="1:12" ht="12" customHeight="1">
      <c r="A234" s="101" t="s">
        <v>319</v>
      </c>
    </row>
    <row r="235" spans="1:12" ht="12" customHeight="1">
      <c r="A235" s="101" t="str">
        <f>"is at least 25% for "&amp;[2]OPEN!$P$14&amp;" and have constructed an entirely new facility or an addition to an existing facility."</f>
        <v>is at least 25% for 2011-12 and have constructed an entirely new facility or an addition to an existing facility.</v>
      </c>
    </row>
    <row r="238" spans="1:12" ht="12" customHeight="1">
      <c r="A238" s="101" t="s">
        <v>0</v>
      </c>
    </row>
    <row r="239" spans="1:12" ht="12" customHeight="1">
      <c r="A239" s="101" t="s">
        <v>335</v>
      </c>
    </row>
    <row r="240" spans="1:12" ht="12" customHeight="1">
      <c r="A240" s="101" t="s">
        <v>306</v>
      </c>
    </row>
    <row r="241" spans="1:15" ht="12" customHeight="1">
      <c r="A241" s="101" t="s">
        <v>307</v>
      </c>
    </row>
    <row r="242" spans="1:15" ht="12" customHeight="1">
      <c r="A242" s="101" t="s">
        <v>308</v>
      </c>
    </row>
    <row r="243" spans="1:15" ht="12" customHeight="1">
      <c r="A243" s="101" t="s">
        <v>309</v>
      </c>
    </row>
    <row r="245" spans="1:15" ht="12" customHeight="1">
      <c r="A245" s="110" t="s">
        <v>1</v>
      </c>
    </row>
    <row r="246" spans="1:15" ht="12" customHeight="1">
      <c r="A246" s="103" t="s">
        <v>2</v>
      </c>
      <c r="B246" s="103"/>
      <c r="C246" s="103"/>
      <c r="D246" s="103"/>
      <c r="E246" s="103"/>
      <c r="F246" s="103"/>
      <c r="G246" s="103"/>
      <c r="H246" s="103"/>
      <c r="I246" s="103"/>
      <c r="J246" s="103"/>
      <c r="L246" s="144"/>
    </row>
    <row r="247" spans="1:15" ht="12" customHeight="1">
      <c r="A247" s="103"/>
      <c r="B247" s="103"/>
      <c r="C247" s="103"/>
      <c r="D247" s="103"/>
      <c r="E247" s="103"/>
      <c r="F247" s="103"/>
      <c r="G247" s="103"/>
      <c r="H247" s="103"/>
      <c r="I247" s="103"/>
      <c r="J247" s="103"/>
      <c r="K247" s="145"/>
    </row>
    <row r="248" spans="1:15" ht="12" customHeight="1">
      <c r="A248" s="103"/>
      <c r="B248" s="147" t="s">
        <v>76</v>
      </c>
      <c r="C248" s="103"/>
      <c r="D248" s="148" t="s">
        <v>77</v>
      </c>
      <c r="E248" s="103"/>
      <c r="F248" s="103"/>
      <c r="G248" s="103"/>
      <c r="H248" s="103"/>
      <c r="I248" s="103"/>
      <c r="J248" s="103"/>
      <c r="K248" s="138"/>
    </row>
    <row r="249" spans="1:15" ht="12" customHeight="1">
      <c r="A249" s="103" t="s">
        <v>78</v>
      </c>
      <c r="B249" s="149">
        <v>77</v>
      </c>
      <c r="C249" s="103"/>
      <c r="D249" s="150">
        <v>38.5</v>
      </c>
      <c r="E249" s="103"/>
      <c r="F249" s="103"/>
      <c r="G249" s="103"/>
      <c r="H249" s="103"/>
      <c r="I249" s="103"/>
      <c r="J249" s="103"/>
      <c r="L249" s="146"/>
    </row>
    <row r="250" spans="1:15" ht="12" customHeight="1">
      <c r="A250" s="103" t="s">
        <v>79</v>
      </c>
      <c r="B250" s="149">
        <v>87</v>
      </c>
      <c r="C250" s="103"/>
      <c r="D250" s="150">
        <v>87</v>
      </c>
      <c r="E250" s="103"/>
      <c r="F250" s="103"/>
      <c r="G250" s="103"/>
      <c r="H250" s="103"/>
      <c r="I250" s="103"/>
      <c r="J250" s="103"/>
    </row>
    <row r="251" spans="1:15" ht="12" customHeight="1">
      <c r="A251" s="103" t="s">
        <v>80</v>
      </c>
      <c r="B251" s="149">
        <v>81</v>
      </c>
      <c r="C251" s="103"/>
      <c r="D251" s="150">
        <v>81</v>
      </c>
      <c r="E251" s="103"/>
      <c r="F251" s="103"/>
      <c r="G251" s="103"/>
      <c r="H251" s="103"/>
      <c r="I251" s="103"/>
      <c r="J251" s="103"/>
    </row>
    <row r="252" spans="1:15" ht="12" customHeight="1">
      <c r="A252" s="103" t="s">
        <v>81</v>
      </c>
      <c r="B252" s="149">
        <v>75</v>
      </c>
      <c r="C252" s="103"/>
      <c r="D252" s="152">
        <v>75</v>
      </c>
      <c r="E252" s="103"/>
      <c r="F252" s="103"/>
      <c r="G252" s="103"/>
      <c r="H252" s="103"/>
      <c r="I252" s="103"/>
      <c r="J252" s="103"/>
      <c r="K252" s="145"/>
    </row>
    <row r="253" spans="1:15" ht="12" customHeight="1">
      <c r="A253" s="101" t="s">
        <v>82</v>
      </c>
      <c r="B253" s="117"/>
      <c r="D253" s="101">
        <v>281.5</v>
      </c>
      <c r="E253" s="101" t="str">
        <f>"X  "&amp;[2]OPEN!$N$24&amp;"  =  "&amp;O257&amp;" X $"&amp;[2]OPEN!$N$25&amp;" =  $"&amp;P257</f>
        <v>X  0.25  =  70.4 X $3780 =  $266112</v>
      </c>
      <c r="G253" s="153"/>
    </row>
    <row r="254" spans="1:15" ht="12" customHeight="1">
      <c r="B254" s="154"/>
      <c r="G254" s="153"/>
    </row>
    <row r="255" spans="1:15" ht="12" customHeight="1">
      <c r="B255" s="117"/>
      <c r="G255" s="153"/>
      <c r="K255" s="103"/>
      <c r="L255" s="151"/>
    </row>
    <row r="256" spans="1:15" ht="12" customHeight="1">
      <c r="A256" s="110" t="s">
        <v>11</v>
      </c>
      <c r="B256" s="117"/>
      <c r="G256" s="153"/>
      <c r="O256" s="101" t="s">
        <v>321</v>
      </c>
    </row>
    <row r="257" spans="2:16" ht="12" customHeight="1">
      <c r="B257" s="117"/>
      <c r="G257" s="133"/>
      <c r="O257" s="101">
        <f>ROUND([2]OPEN!$N$24*D253,1)</f>
        <v>70.400000000000006</v>
      </c>
      <c r="P257" s="101">
        <f>ROUND(O257*[2]OPEN!$N$25,0)</f>
        <v>266112</v>
      </c>
    </row>
    <row r="258" spans="2:16" ht="12" customHeight="1">
      <c r="B258" s="117"/>
      <c r="D258" s="102" t="s">
        <v>12</v>
      </c>
      <c r="E258" s="155"/>
      <c r="G258" s="153"/>
    </row>
    <row r="259" spans="2:16" ht="12" customHeight="1">
      <c r="B259" s="117"/>
      <c r="D259" s="102" t="s">
        <v>13</v>
      </c>
      <c r="E259" s="155"/>
      <c r="G259" s="153"/>
    </row>
    <row r="260" spans="2:16" ht="12" customHeight="1">
      <c r="B260" s="117"/>
      <c r="D260" s="102" t="s">
        <v>91</v>
      </c>
      <c r="E260" s="155"/>
      <c r="G260" s="153"/>
    </row>
    <row r="261" spans="2:16" ht="12" customHeight="1">
      <c r="B261" s="117"/>
      <c r="G261" s="153"/>
    </row>
    <row r="262" spans="2:16" ht="12" customHeight="1">
      <c r="B262" s="117" t="s">
        <v>92</v>
      </c>
      <c r="D262" s="102" t="s">
        <v>93</v>
      </c>
      <c r="E262" s="155">
        <v>105</v>
      </c>
      <c r="F262" s="101" t="s">
        <v>94</v>
      </c>
      <c r="G262" s="153"/>
    </row>
    <row r="263" spans="2:16" ht="12" customHeight="1">
      <c r="B263" s="117"/>
      <c r="D263" s="102" t="s">
        <v>95</v>
      </c>
      <c r="E263" s="155">
        <v>154</v>
      </c>
      <c r="F263" s="101" t="s">
        <v>94</v>
      </c>
      <c r="G263" s="153"/>
    </row>
    <row r="264" spans="2:16" ht="12" customHeight="1">
      <c r="B264" s="117"/>
      <c r="D264" s="102" t="s">
        <v>96</v>
      </c>
      <c r="E264" s="155">
        <v>133</v>
      </c>
      <c r="F264" s="101" t="s">
        <v>94</v>
      </c>
      <c r="G264" s="153"/>
    </row>
    <row r="265" spans="2:16" ht="12" customHeight="1">
      <c r="B265" s="117"/>
      <c r="D265" s="102" t="s">
        <v>97</v>
      </c>
      <c r="E265" s="155">
        <v>121</v>
      </c>
      <c r="F265" s="101" t="s">
        <v>94</v>
      </c>
      <c r="G265" s="153"/>
    </row>
    <row r="266" spans="2:16" ht="12" customHeight="1">
      <c r="B266" s="117"/>
      <c r="D266" s="102" t="s">
        <v>98</v>
      </c>
      <c r="E266" s="155">
        <v>513</v>
      </c>
      <c r="G266" s="153"/>
    </row>
    <row r="268" spans="2:16" ht="12" customHeight="1">
      <c r="D268" s="102" t="s">
        <v>99</v>
      </c>
      <c r="E268" s="155">
        <v>7</v>
      </c>
      <c r="F268" s="101" t="s">
        <v>100</v>
      </c>
    </row>
    <row r="269" spans="2:16" ht="12" customHeight="1">
      <c r="D269" s="156" t="s">
        <v>20</v>
      </c>
      <c r="E269" s="155">
        <v>73.3</v>
      </c>
      <c r="F269" s="101" t="s">
        <v>77</v>
      </c>
    </row>
    <row r="271" spans="2:16" ht="12" customHeight="1">
      <c r="B271" s="101" t="str">
        <f>"Weighting for above example: "&amp;E269&amp;" X  "&amp;[2]OPEN!$N$24&amp;" = "&amp;O275&amp;"  X  $"&amp;[2]OPEN!$N$25&amp;" = $"&amp;P275</f>
        <v>Weighting for above example: 73.3 X  0.25 = 18.3  X  $3780 = $69174</v>
      </c>
    </row>
    <row r="273" spans="1:27" ht="12" customHeight="1">
      <c r="A273" s="474" t="s">
        <v>58</v>
      </c>
      <c r="B273" s="475"/>
      <c r="C273" s="475"/>
      <c r="D273" s="475"/>
      <c r="E273" s="475"/>
      <c r="F273" s="475"/>
      <c r="G273" s="475"/>
      <c r="H273" s="475"/>
      <c r="I273" s="475"/>
      <c r="J273" s="475"/>
    </row>
    <row r="274" spans="1:27" ht="12" customHeight="1">
      <c r="A274" s="475"/>
      <c r="B274" s="475"/>
      <c r="C274" s="475"/>
      <c r="D274" s="475"/>
      <c r="E274" s="475"/>
      <c r="F274" s="475"/>
      <c r="G274" s="475"/>
      <c r="H274" s="475"/>
      <c r="I274" s="475"/>
      <c r="J274" s="475"/>
      <c r="O274" s="101" t="s">
        <v>321</v>
      </c>
    </row>
    <row r="275" spans="1:27" ht="12" customHeight="1">
      <c r="A275" s="475" t="s">
        <v>320</v>
      </c>
      <c r="B275" s="475"/>
      <c r="C275" s="475"/>
      <c r="D275" s="475"/>
      <c r="E275" s="475"/>
      <c r="F275" s="475"/>
      <c r="G275" s="475"/>
      <c r="H275" s="475"/>
      <c r="I275" s="475"/>
      <c r="J275" s="475"/>
      <c r="O275" s="101">
        <f>ROUND(E269*[2]OPEN!$N$24,1)</f>
        <v>18.3</v>
      </c>
      <c r="P275" s="101">
        <f>ROUND(O275*[2]OPEN!$N$25,0)</f>
        <v>69174</v>
      </c>
    </row>
    <row r="276" spans="1:27" ht="12" customHeight="1">
      <c r="A276" s="476"/>
      <c r="B276" s="476"/>
      <c r="C276" s="476"/>
      <c r="D276" s="476"/>
      <c r="E276" s="476"/>
      <c r="F276" s="476"/>
      <c r="G276" s="476"/>
      <c r="H276" s="476"/>
      <c r="I276" s="476"/>
      <c r="J276" s="476"/>
    </row>
    <row r="277" spans="1:27" ht="12" customHeight="1">
      <c r="A277" s="490"/>
      <c r="B277" s="103"/>
      <c r="C277" s="103"/>
      <c r="D277" s="103"/>
      <c r="E277" s="103"/>
      <c r="F277" s="103"/>
      <c r="G277" s="103"/>
      <c r="H277" s="103"/>
      <c r="I277" s="103"/>
      <c r="J277" s="103"/>
    </row>
    <row r="278" spans="1:27" ht="12" customHeight="1">
      <c r="A278" s="103"/>
      <c r="B278" s="103"/>
      <c r="C278" s="103"/>
      <c r="D278" s="103"/>
      <c r="E278" s="103"/>
      <c r="F278" s="103"/>
      <c r="G278" s="103"/>
      <c r="H278" s="103"/>
      <c r="I278" s="103"/>
      <c r="J278" s="103"/>
    </row>
    <row r="279" spans="1:27" ht="12" customHeight="1">
      <c r="A279" s="492"/>
      <c r="B279" s="492"/>
      <c r="C279" s="149"/>
      <c r="D279" s="493"/>
      <c r="E279" s="493"/>
      <c r="F279" s="493"/>
      <c r="G279" s="493"/>
      <c r="H279" s="103"/>
      <c r="I279" s="103"/>
      <c r="J279" s="103"/>
    </row>
    <row r="280" spans="1:27" ht="12" customHeight="1">
      <c r="A280" s="103"/>
      <c r="B280" s="103"/>
      <c r="C280" s="103"/>
      <c r="D280" s="103"/>
      <c r="E280" s="103"/>
      <c r="F280" s="103"/>
      <c r="G280" s="103"/>
      <c r="H280" s="103"/>
      <c r="I280" s="103"/>
      <c r="J280" s="103"/>
    </row>
    <row r="281" spans="1:27" ht="12" customHeight="1">
      <c r="A281" s="103"/>
      <c r="B281" s="103"/>
      <c r="C281" s="103"/>
      <c r="D281" s="103"/>
      <c r="E281" s="103"/>
      <c r="F281" s="103"/>
      <c r="G281" s="103"/>
      <c r="H281" s="103"/>
      <c r="I281" s="103"/>
      <c r="J281" s="103"/>
    </row>
    <row r="282" spans="1:27" ht="12" customHeight="1">
      <c r="A282" s="103"/>
      <c r="B282" s="103"/>
      <c r="C282" s="103"/>
      <c r="D282" s="103"/>
      <c r="E282" s="103"/>
      <c r="F282" s="103"/>
      <c r="G282" s="103"/>
      <c r="H282" s="103"/>
      <c r="I282" s="103"/>
      <c r="J282" s="103"/>
      <c r="P282" s="636"/>
      <c r="Q282" s="571"/>
    </row>
    <row r="283" spans="1:27" ht="12" customHeight="1">
      <c r="A283" s="103"/>
      <c r="B283" s="103"/>
      <c r="C283" s="103"/>
      <c r="D283" s="103"/>
      <c r="E283" s="103"/>
      <c r="F283" s="103"/>
      <c r="G283" s="103"/>
      <c r="H283" s="103"/>
      <c r="I283" s="103"/>
      <c r="J283" s="103"/>
      <c r="P283" s="571"/>
    </row>
    <row r="284" spans="1:27" ht="12" customHeight="1">
      <c r="A284" s="491"/>
      <c r="B284" s="491"/>
      <c r="C284" s="491"/>
      <c r="D284" s="491"/>
      <c r="E284" s="491"/>
      <c r="F284" s="491"/>
      <c r="G284" s="491"/>
      <c r="H284" s="491"/>
      <c r="I284" s="103"/>
      <c r="J284" s="103"/>
      <c r="L284" s="571"/>
      <c r="M284" s="699"/>
      <c r="N284" s="699"/>
    </row>
    <row r="285" spans="1:27" ht="12" customHeight="1">
      <c r="A285" s="630" t="s">
        <v>662</v>
      </c>
      <c r="B285" s="103"/>
      <c r="C285" s="103"/>
      <c r="D285" s="634"/>
      <c r="E285" s="471"/>
      <c r="F285" s="103"/>
      <c r="G285" s="576"/>
      <c r="H285" s="576"/>
      <c r="I285" s="576"/>
      <c r="J285" s="576"/>
      <c r="K285" s="571"/>
      <c r="L285" s="571"/>
      <c r="M285" s="700"/>
      <c r="N285" s="700"/>
      <c r="P285" s="794" t="s">
        <v>489</v>
      </c>
      <c r="Q285" s="794"/>
      <c r="R285" s="794"/>
      <c r="S285" s="794"/>
      <c r="T285" s="794"/>
      <c r="U285" s="794"/>
      <c r="V285" s="794"/>
      <c r="W285" s="794"/>
      <c r="X285" s="794"/>
      <c r="Z285" s="571"/>
    </row>
    <row r="286" spans="1:27" ht="12" customHeight="1">
      <c r="A286" s="473"/>
      <c r="B286" s="103"/>
      <c r="C286" s="103"/>
      <c r="D286" s="634"/>
      <c r="E286" s="471"/>
      <c r="F286" s="103"/>
      <c r="G286" s="576"/>
      <c r="H286" s="576"/>
      <c r="I286" s="576"/>
      <c r="J286" s="576"/>
      <c r="K286" s="571"/>
      <c r="L286" s="793"/>
      <c r="M286" s="793"/>
      <c r="N286" s="793"/>
      <c r="P286" s="117" t="s">
        <v>409</v>
      </c>
      <c r="Q286" s="117" t="s">
        <v>410</v>
      </c>
      <c r="R286" s="117" t="s">
        <v>490</v>
      </c>
      <c r="S286" s="117" t="s">
        <v>491</v>
      </c>
      <c r="T286" s="117" t="s">
        <v>492</v>
      </c>
      <c r="U286" s="117" t="s">
        <v>493</v>
      </c>
      <c r="V286" s="117" t="s">
        <v>494</v>
      </c>
      <c r="Z286" s="571"/>
      <c r="AA286" s="571"/>
    </row>
    <row r="287" spans="1:27" ht="13.5" customHeight="1">
      <c r="A287" s="631">
        <v>40697</v>
      </c>
      <c r="B287" s="632"/>
      <c r="C287" s="524"/>
      <c r="D287" s="796"/>
      <c r="E287" s="796"/>
      <c r="F287" s="524"/>
      <c r="G287" s="627"/>
      <c r="H287" s="626"/>
      <c r="I287" s="626"/>
      <c r="J287" s="626"/>
      <c r="K287" s="571"/>
      <c r="L287" s="571"/>
      <c r="M287" s="571"/>
      <c r="N287" s="571"/>
      <c r="P287" s="784" t="s">
        <v>421</v>
      </c>
      <c r="Q287" s="101" t="s">
        <v>482</v>
      </c>
      <c r="R287" s="117" t="s">
        <v>419</v>
      </c>
      <c r="S287" s="101" t="s">
        <v>495</v>
      </c>
      <c r="T287" s="101" t="s">
        <v>406</v>
      </c>
      <c r="U287" s="101" t="s">
        <v>412</v>
      </c>
      <c r="V287" s="101" t="s">
        <v>448</v>
      </c>
      <c r="Z287" s="571"/>
      <c r="AA287" s="571"/>
    </row>
    <row r="288" spans="1:27" ht="12" customHeight="1" thickBot="1">
      <c r="A288" s="633" t="s">
        <v>21</v>
      </c>
      <c r="B288" s="633" t="s">
        <v>22</v>
      </c>
      <c r="C288" s="126"/>
      <c r="D288" s="534"/>
      <c r="E288" s="532"/>
      <c r="F288" s="126"/>
      <c r="G288" s="612"/>
      <c r="H288" s="612"/>
      <c r="I288" s="612"/>
      <c r="J288" s="612"/>
      <c r="K288" s="571"/>
      <c r="L288" s="571"/>
      <c r="M288" s="571"/>
      <c r="N288" s="571"/>
      <c r="O288" s="132" t="s">
        <v>322</v>
      </c>
      <c r="P288" s="784" t="s">
        <v>420</v>
      </c>
      <c r="Q288" s="101" t="s">
        <v>483</v>
      </c>
      <c r="R288" s="117" t="s">
        <v>422</v>
      </c>
      <c r="S288" s="101" t="s">
        <v>461</v>
      </c>
      <c r="T288" s="101" t="s">
        <v>407</v>
      </c>
      <c r="U288" s="132" t="s">
        <v>666</v>
      </c>
      <c r="V288" s="101" t="s">
        <v>247</v>
      </c>
      <c r="W288" s="101" t="s">
        <v>408</v>
      </c>
      <c r="X288" s="101" t="s">
        <v>90</v>
      </c>
      <c r="Z288" s="571"/>
      <c r="AA288" s="571"/>
    </row>
    <row r="289" spans="1:27" ht="12" customHeight="1">
      <c r="A289" s="423">
        <v>0.01</v>
      </c>
      <c r="B289" s="629">
        <v>0.66969999999999996</v>
      </c>
      <c r="D289" s="423"/>
      <c r="E289" s="511"/>
      <c r="F289" s="129"/>
      <c r="G289" s="624"/>
      <c r="H289" s="625"/>
      <c r="L289" s="628"/>
      <c r="M289" s="629"/>
      <c r="N289" s="629"/>
      <c r="O289" s="132">
        <v>107</v>
      </c>
      <c r="P289" s="127">
        <f>3310799+ROUND($J$52*$G$52,0)</f>
        <v>3632477</v>
      </c>
      <c r="Q289" s="127">
        <f t="shared" ref="Q289:Q298" si="0">IF($J$1=O289,$E$58*$G$58,0)</f>
        <v>0</v>
      </c>
      <c r="R289" s="127">
        <f t="shared" ref="R289:R296" si="1">MAX(P289,Q289)</f>
        <v>3632477</v>
      </c>
      <c r="S289" s="127">
        <f>R289+V289</f>
        <v>3632477</v>
      </c>
      <c r="T289" s="132" t="s">
        <v>510</v>
      </c>
      <c r="V289" s="122">
        <f t="shared" ref="V289:V298" si="2">IF($J$1=O289,$L$60,0)</f>
        <v>0</v>
      </c>
      <c r="W289" s="132" t="s">
        <v>512</v>
      </c>
      <c r="X289" s="101" t="s">
        <v>511</v>
      </c>
      <c r="Z289" s="635"/>
      <c r="AA289" s="592"/>
    </row>
    <row r="290" spans="1:27" ht="12" customHeight="1">
      <c r="A290" s="423">
        <v>0.02</v>
      </c>
      <c r="B290" s="629">
        <v>0.57530000000000003</v>
      </c>
      <c r="D290" s="423"/>
      <c r="E290" s="511"/>
      <c r="F290" s="129"/>
      <c r="G290" s="624"/>
      <c r="H290" s="625"/>
      <c r="L290" s="628"/>
      <c r="M290" s="629"/>
      <c r="N290" s="629"/>
      <c r="O290" s="132">
        <v>111</v>
      </c>
      <c r="P290" s="127">
        <f>3650739+ROUND($J$52*$G$52,0)</f>
        <v>3972417</v>
      </c>
      <c r="Q290" s="127">
        <f t="shared" si="0"/>
        <v>0</v>
      </c>
      <c r="R290" s="127">
        <f t="shared" si="1"/>
        <v>3972417</v>
      </c>
      <c r="S290" s="127">
        <f t="shared" ref="S290:S298" si="3">R290+V290</f>
        <v>3972417</v>
      </c>
      <c r="T290" s="132" t="s">
        <v>411</v>
      </c>
      <c r="V290" s="122">
        <f t="shared" si="2"/>
        <v>0</v>
      </c>
      <c r="W290" s="132" t="s">
        <v>502</v>
      </c>
      <c r="X290" s="101" t="s">
        <v>462</v>
      </c>
      <c r="Z290" s="635"/>
      <c r="AA290" s="592"/>
    </row>
    <row r="291" spans="1:27" ht="12" customHeight="1">
      <c r="A291" s="423">
        <v>0.03</v>
      </c>
      <c r="B291" s="629">
        <v>0.52649999999999997</v>
      </c>
      <c r="D291" s="423"/>
      <c r="E291" s="511"/>
      <c r="F291" s="129"/>
      <c r="G291" s="624"/>
      <c r="H291" s="625"/>
      <c r="L291" s="628"/>
      <c r="M291" s="629"/>
      <c r="N291" s="629"/>
      <c r="O291" s="132">
        <v>112</v>
      </c>
      <c r="P291" s="127">
        <f>4998037+ROUND($J$52*$G$52,0)</f>
        <v>5319715</v>
      </c>
      <c r="Q291" s="127">
        <f t="shared" si="0"/>
        <v>0</v>
      </c>
      <c r="R291" s="127">
        <f t="shared" si="1"/>
        <v>5319715</v>
      </c>
      <c r="S291" s="127">
        <f t="shared" si="3"/>
        <v>5319715</v>
      </c>
      <c r="T291" s="132" t="s">
        <v>411</v>
      </c>
      <c r="V291" s="122">
        <f t="shared" si="2"/>
        <v>0</v>
      </c>
      <c r="W291" s="132" t="s">
        <v>561</v>
      </c>
      <c r="X291" s="101" t="s">
        <v>569</v>
      </c>
      <c r="Z291" s="635"/>
      <c r="AA291" s="592"/>
    </row>
    <row r="292" spans="1:27" ht="13.5" customHeight="1">
      <c r="A292" s="423">
        <v>0.04</v>
      </c>
      <c r="B292" s="629">
        <v>0.49430000000000002</v>
      </c>
      <c r="D292" s="423"/>
      <c r="E292" s="511"/>
      <c r="F292" s="129"/>
      <c r="G292" s="624"/>
      <c r="H292" s="625"/>
      <c r="L292" s="628"/>
      <c r="M292" s="629"/>
      <c r="N292" s="629"/>
      <c r="O292" s="132">
        <v>113</v>
      </c>
      <c r="P292" s="127">
        <f>7638511+ROUND($J$52*$G$52,0)</f>
        <v>7960189</v>
      </c>
      <c r="Q292" s="127">
        <f t="shared" si="0"/>
        <v>0</v>
      </c>
      <c r="R292" s="127">
        <f t="shared" si="1"/>
        <v>7960189</v>
      </c>
      <c r="S292" s="127">
        <f t="shared" si="3"/>
        <v>7960189</v>
      </c>
      <c r="T292" s="132" t="s">
        <v>411</v>
      </c>
      <c r="V292" s="122">
        <f t="shared" si="2"/>
        <v>0</v>
      </c>
      <c r="W292" s="132" t="s">
        <v>486</v>
      </c>
      <c r="X292" s="101" t="s">
        <v>569</v>
      </c>
      <c r="Z292" s="635"/>
      <c r="AA292" s="592"/>
    </row>
    <row r="293" spans="1:27" ht="12" customHeight="1">
      <c r="A293" s="423">
        <v>0.05</v>
      </c>
      <c r="B293" s="629">
        <v>0.47070000000000001</v>
      </c>
      <c r="D293" s="423"/>
      <c r="E293" s="511"/>
      <c r="F293" s="129"/>
      <c r="G293" s="624"/>
      <c r="H293" s="625"/>
      <c r="L293" s="628"/>
      <c r="M293" s="629"/>
      <c r="N293" s="629"/>
      <c r="O293" s="132">
        <v>114</v>
      </c>
      <c r="P293" s="127">
        <f>4955854+ROUND($J$52*$G$52,0)</f>
        <v>5277532</v>
      </c>
      <c r="Q293" s="127">
        <f t="shared" si="0"/>
        <v>0</v>
      </c>
      <c r="R293" s="127">
        <f t="shared" si="1"/>
        <v>5277532</v>
      </c>
      <c r="S293" s="127">
        <f t="shared" si="3"/>
        <v>5277532</v>
      </c>
      <c r="T293" s="132" t="s">
        <v>411</v>
      </c>
      <c r="V293" s="122">
        <f t="shared" si="2"/>
        <v>0</v>
      </c>
      <c r="W293" s="132" t="s">
        <v>567</v>
      </c>
      <c r="X293" s="132" t="s">
        <v>569</v>
      </c>
      <c r="Z293" s="635"/>
      <c r="AA293" s="592"/>
    </row>
    <row r="294" spans="1:27" ht="12" customHeight="1">
      <c r="A294" s="423">
        <v>0.06</v>
      </c>
      <c r="B294" s="629">
        <v>0.45229999999999998</v>
      </c>
      <c r="D294" s="423"/>
      <c r="E294" s="718"/>
      <c r="F294" s="129"/>
      <c r="G294" s="624"/>
      <c r="H294" s="625"/>
      <c r="L294" s="628"/>
      <c r="M294" s="629"/>
      <c r="N294" s="629"/>
      <c r="O294" s="132">
        <v>115</v>
      </c>
      <c r="P294" s="127">
        <f>4507363+ROUND($J$52*$G$52,0)</f>
        <v>4829041</v>
      </c>
      <c r="Q294" s="127">
        <f t="shared" si="0"/>
        <v>0</v>
      </c>
      <c r="R294" s="127">
        <f t="shared" si="1"/>
        <v>4829041</v>
      </c>
      <c r="S294" s="127">
        <f t="shared" si="3"/>
        <v>4829041</v>
      </c>
      <c r="T294" s="132" t="s">
        <v>411</v>
      </c>
      <c r="V294" s="122">
        <f t="shared" si="2"/>
        <v>0</v>
      </c>
      <c r="W294" s="132" t="s">
        <v>664</v>
      </c>
      <c r="X294" s="132" t="s">
        <v>569</v>
      </c>
      <c r="Z294" s="635"/>
      <c r="AA294" s="592"/>
    </row>
    <row r="295" spans="1:27" ht="12" customHeight="1">
      <c r="A295" s="423">
        <v>7.0000000000000007E-2</v>
      </c>
      <c r="B295" s="629">
        <v>0.43730000000000002</v>
      </c>
      <c r="D295" s="423"/>
      <c r="E295" s="718"/>
      <c r="F295" s="129"/>
      <c r="G295" s="624"/>
      <c r="H295" s="625"/>
      <c r="L295" s="628"/>
      <c r="M295" s="629"/>
      <c r="N295" s="629"/>
      <c r="O295" s="132">
        <v>211</v>
      </c>
      <c r="P295" s="127">
        <f>4718647+ROUND($J$52*$G$52,0)</f>
        <v>5040325</v>
      </c>
      <c r="Q295" s="127">
        <f t="shared" si="0"/>
        <v>0</v>
      </c>
      <c r="R295" s="127">
        <f t="shared" si="1"/>
        <v>5040325</v>
      </c>
      <c r="S295" s="127">
        <f t="shared" si="3"/>
        <v>5040325</v>
      </c>
      <c r="T295" s="132" t="s">
        <v>411</v>
      </c>
      <c r="V295" s="122">
        <f t="shared" si="2"/>
        <v>0</v>
      </c>
      <c r="W295" s="132" t="s">
        <v>570</v>
      </c>
      <c r="X295" s="132" t="s">
        <v>462</v>
      </c>
      <c r="Z295" s="635"/>
      <c r="AA295" s="592"/>
    </row>
    <row r="296" spans="1:27" ht="12" customHeight="1">
      <c r="A296" s="423">
        <v>0.08</v>
      </c>
      <c r="B296" s="629">
        <v>0.42470000000000002</v>
      </c>
      <c r="D296" s="423"/>
      <c r="E296" s="718"/>
      <c r="F296" s="129"/>
      <c r="G296" s="624"/>
      <c r="H296" s="625"/>
      <c r="L296" s="628"/>
      <c r="M296" s="629"/>
      <c r="N296" s="629"/>
      <c r="O296" s="132">
        <v>227</v>
      </c>
      <c r="P296" s="127">
        <f>2598747+ROUND($J$52*$G$52,0)</f>
        <v>2920425</v>
      </c>
      <c r="Q296" s="127">
        <f t="shared" si="0"/>
        <v>0</v>
      </c>
      <c r="R296" s="127">
        <f t="shared" si="1"/>
        <v>2920425</v>
      </c>
      <c r="S296" s="127">
        <f t="shared" si="3"/>
        <v>2920425</v>
      </c>
      <c r="T296" s="132" t="s">
        <v>665</v>
      </c>
      <c r="V296" s="122">
        <f t="shared" si="2"/>
        <v>0</v>
      </c>
      <c r="W296" s="132" t="s">
        <v>572</v>
      </c>
      <c r="X296" s="132" t="s">
        <v>717</v>
      </c>
      <c r="Z296" s="635"/>
      <c r="AA296" s="592"/>
    </row>
    <row r="297" spans="1:27" ht="12" customHeight="1">
      <c r="A297" s="423">
        <v>0.09</v>
      </c>
      <c r="B297" s="629">
        <v>0.41389999999999999</v>
      </c>
      <c r="D297" s="423"/>
      <c r="E297" s="718"/>
      <c r="F297" s="129"/>
      <c r="G297" s="624"/>
      <c r="H297" s="625"/>
      <c r="L297" s="628"/>
      <c r="M297" s="629"/>
      <c r="N297" s="629"/>
      <c r="O297" s="132">
        <v>273</v>
      </c>
      <c r="P297" s="127">
        <f>5287239+ROUND($J$52*$G$52,0)</f>
        <v>5608917</v>
      </c>
      <c r="Q297" s="127">
        <f t="shared" si="0"/>
        <v>0</v>
      </c>
      <c r="R297" s="127">
        <f>MAX(P297,Q297)</f>
        <v>5608917</v>
      </c>
      <c r="S297" s="127">
        <f t="shared" si="3"/>
        <v>5608917</v>
      </c>
      <c r="T297" s="132" t="s">
        <v>510</v>
      </c>
      <c r="V297" s="122">
        <f t="shared" si="2"/>
        <v>0</v>
      </c>
      <c r="W297" s="132" t="s">
        <v>512</v>
      </c>
      <c r="X297" s="101" t="s">
        <v>511</v>
      </c>
      <c r="Z297" s="635"/>
      <c r="AA297" s="592"/>
    </row>
    <row r="298" spans="1:27" ht="12" customHeight="1">
      <c r="A298" s="423">
        <v>0.1</v>
      </c>
      <c r="B298" s="629">
        <v>0.40439999999999998</v>
      </c>
      <c r="D298" s="423"/>
      <c r="E298" s="511"/>
      <c r="F298" s="129"/>
      <c r="G298" s="624"/>
      <c r="H298" s="625"/>
      <c r="L298" s="628"/>
      <c r="M298" s="629"/>
      <c r="N298" s="629"/>
      <c r="O298" s="132">
        <v>422</v>
      </c>
      <c r="P298" s="127">
        <f>3081022+ROUND($J$52*$G$52,0)</f>
        <v>3402700</v>
      </c>
      <c r="Q298" s="127">
        <f t="shared" si="0"/>
        <v>0</v>
      </c>
      <c r="R298" s="127">
        <f>MAX(P298,Q298)</f>
        <v>3402700</v>
      </c>
      <c r="S298" s="127">
        <f t="shared" si="3"/>
        <v>3402700</v>
      </c>
      <c r="T298" s="132" t="s">
        <v>665</v>
      </c>
      <c r="V298" s="122">
        <f t="shared" si="2"/>
        <v>0</v>
      </c>
      <c r="W298" s="132" t="s">
        <v>573</v>
      </c>
      <c r="X298" s="783" t="s">
        <v>718</v>
      </c>
      <c r="Z298" s="635"/>
      <c r="AA298" s="592"/>
    </row>
    <row r="299" spans="1:27" ht="12" customHeight="1">
      <c r="A299" s="423">
        <v>0.11</v>
      </c>
      <c r="B299" s="629">
        <v>0.39610000000000001</v>
      </c>
      <c r="D299" s="423"/>
      <c r="E299" s="511"/>
      <c r="F299" s="129"/>
      <c r="G299" s="624"/>
      <c r="H299" s="625"/>
      <c r="L299" s="628"/>
      <c r="M299" s="629"/>
      <c r="N299" s="629"/>
      <c r="O299" s="141"/>
      <c r="P299" s="127"/>
      <c r="Q299" s="127"/>
      <c r="R299" s="127"/>
      <c r="S299" s="127"/>
      <c r="T299" s="126"/>
      <c r="V299" s="122"/>
      <c r="W299" s="141"/>
      <c r="Z299" s="635"/>
      <c r="AA299" s="592"/>
    </row>
    <row r="300" spans="1:27" ht="12" customHeight="1">
      <c r="A300" s="423">
        <v>0.12</v>
      </c>
      <c r="B300" s="629">
        <v>0.3886</v>
      </c>
      <c r="D300" s="423"/>
      <c r="E300" s="511"/>
      <c r="F300" s="129"/>
      <c r="G300" s="624"/>
      <c r="H300" s="625"/>
      <c r="L300" s="628"/>
      <c r="M300" s="629"/>
      <c r="N300" s="629"/>
      <c r="Z300" s="635"/>
      <c r="AA300" s="592"/>
    </row>
    <row r="301" spans="1:27" ht="12" customHeight="1">
      <c r="A301" s="423">
        <v>0.13</v>
      </c>
      <c r="B301" s="629">
        <v>0.38179999999999997</v>
      </c>
      <c r="D301" s="423"/>
      <c r="E301" s="511"/>
      <c r="F301" s="129"/>
      <c r="G301" s="624"/>
      <c r="H301" s="625"/>
      <c r="L301" s="628"/>
      <c r="M301" s="629"/>
      <c r="N301" s="629"/>
      <c r="P301" s="101" t="s">
        <v>460</v>
      </c>
      <c r="Z301" s="635"/>
      <c r="AA301" s="592"/>
    </row>
    <row r="302" spans="1:27" ht="12" customHeight="1">
      <c r="A302" s="423">
        <v>0.14000000000000001</v>
      </c>
      <c r="B302" s="629">
        <v>0.37569999999999998</v>
      </c>
      <c r="D302" s="423"/>
      <c r="E302" s="511"/>
      <c r="F302" s="129"/>
      <c r="G302" s="624"/>
      <c r="H302" s="625"/>
      <c r="L302" s="628"/>
      <c r="M302" s="629"/>
      <c r="N302" s="629"/>
      <c r="O302" s="571"/>
      <c r="Z302" s="635"/>
      <c r="AA302" s="592"/>
    </row>
    <row r="303" spans="1:27" ht="12" customHeight="1">
      <c r="A303" s="423">
        <v>0.15</v>
      </c>
      <c r="B303" s="629">
        <v>0.37009999999999998</v>
      </c>
      <c r="D303" s="423"/>
      <c r="E303" s="511"/>
      <c r="F303" s="129"/>
      <c r="G303" s="624"/>
      <c r="H303" s="625"/>
      <c r="L303" s="628"/>
      <c r="M303" s="629"/>
      <c r="N303" s="629"/>
      <c r="O303" s="547"/>
      <c r="P303" s="127"/>
      <c r="Q303" s="127"/>
      <c r="R303" s="127"/>
      <c r="S303" s="127"/>
      <c r="T303" s="556"/>
      <c r="V303" s="122"/>
      <c r="W303" s="547"/>
      <c r="Z303" s="635"/>
      <c r="AA303" s="592"/>
    </row>
    <row r="304" spans="1:27" ht="12" customHeight="1">
      <c r="A304" s="423">
        <v>0.16</v>
      </c>
      <c r="B304" s="629">
        <v>0.3649</v>
      </c>
      <c r="D304" s="423"/>
      <c r="E304" s="511"/>
      <c r="F304" s="129"/>
      <c r="G304" s="624"/>
      <c r="H304" s="625"/>
      <c r="L304" s="628"/>
      <c r="M304" s="629"/>
      <c r="N304" s="629"/>
      <c r="O304" s="547"/>
      <c r="P304" s="127"/>
      <c r="Q304" s="127"/>
      <c r="R304" s="127"/>
      <c r="S304" s="127"/>
      <c r="T304" s="556"/>
      <c r="V304" s="122"/>
      <c r="W304" s="547"/>
      <c r="Z304" s="635"/>
      <c r="AA304" s="592"/>
    </row>
    <row r="305" spans="1:27" ht="12" customHeight="1">
      <c r="A305" s="423">
        <v>0.17</v>
      </c>
      <c r="B305" s="629">
        <v>0.36009999999999998</v>
      </c>
      <c r="D305" s="423"/>
      <c r="E305" s="511"/>
      <c r="F305" s="129"/>
      <c r="G305" s="624"/>
      <c r="H305" s="625"/>
      <c r="L305" s="628"/>
      <c r="M305" s="629"/>
      <c r="N305" s="629"/>
      <c r="O305" s="547"/>
      <c r="P305" s="127"/>
      <c r="Q305" s="127"/>
      <c r="R305" s="127"/>
      <c r="S305" s="127"/>
      <c r="T305" s="556"/>
      <c r="V305" s="122"/>
      <c r="W305" s="547"/>
      <c r="Z305" s="635"/>
      <c r="AA305" s="592"/>
    </row>
    <row r="306" spans="1:27" ht="12" customHeight="1">
      <c r="A306" s="423">
        <v>0.18</v>
      </c>
      <c r="B306" s="629">
        <v>0.35560000000000003</v>
      </c>
      <c r="D306" s="423"/>
      <c r="E306" s="511"/>
      <c r="F306" s="129"/>
      <c r="G306" s="624"/>
      <c r="H306" s="625"/>
      <c r="L306" s="628"/>
      <c r="M306" s="629"/>
      <c r="N306" s="629"/>
      <c r="O306" s="547"/>
      <c r="P306" s="127"/>
      <c r="Q306" s="127"/>
      <c r="R306" s="127"/>
      <c r="S306" s="127"/>
      <c r="T306" s="556"/>
      <c r="V306" s="122"/>
      <c r="W306" s="547"/>
      <c r="Z306" s="635"/>
      <c r="AA306" s="592"/>
    </row>
    <row r="307" spans="1:27" ht="12" customHeight="1">
      <c r="A307" s="423">
        <v>0.19</v>
      </c>
      <c r="B307" s="629">
        <v>0.35139999999999999</v>
      </c>
      <c r="D307" s="423"/>
      <c r="E307" s="511"/>
      <c r="F307" s="129"/>
      <c r="G307" s="624"/>
      <c r="H307" s="625"/>
      <c r="L307" s="628"/>
      <c r="M307" s="629"/>
      <c r="N307" s="629"/>
      <c r="O307" s="555"/>
      <c r="P307" s="127"/>
      <c r="Q307" s="127"/>
      <c r="R307" s="127"/>
      <c r="S307" s="127"/>
      <c r="T307" s="555"/>
      <c r="V307" s="122"/>
      <c r="W307" s="555"/>
      <c r="Z307" s="635"/>
      <c r="AA307" s="592"/>
    </row>
    <row r="308" spans="1:27" ht="12" customHeight="1">
      <c r="A308" s="423">
        <v>0.2</v>
      </c>
      <c r="B308" s="629">
        <v>0.34749999999999998</v>
      </c>
      <c r="D308" s="423"/>
      <c r="E308" s="511"/>
      <c r="F308" s="129"/>
      <c r="G308" s="624"/>
      <c r="H308" s="625"/>
      <c r="L308" s="628"/>
      <c r="M308" s="629"/>
      <c r="N308" s="629"/>
      <c r="O308" s="555"/>
      <c r="P308" s="127"/>
      <c r="Q308" s="127"/>
      <c r="R308" s="127"/>
      <c r="S308" s="127"/>
      <c r="T308" s="555"/>
      <c r="V308" s="122"/>
      <c r="W308" s="555"/>
      <c r="Z308" s="635"/>
      <c r="AA308" s="592"/>
    </row>
    <row r="309" spans="1:27" ht="12" customHeight="1">
      <c r="A309" s="423">
        <v>0.21</v>
      </c>
      <c r="B309" s="629">
        <v>0.34379999999999999</v>
      </c>
      <c r="D309" s="423"/>
      <c r="E309" s="511"/>
      <c r="F309" s="129"/>
      <c r="G309" s="624"/>
      <c r="H309" s="625"/>
      <c r="L309" s="628"/>
      <c r="M309" s="629"/>
      <c r="N309" s="629"/>
      <c r="O309" s="555"/>
      <c r="P309" s="127"/>
      <c r="Q309" s="127"/>
      <c r="R309" s="127"/>
      <c r="S309" s="127"/>
      <c r="T309" s="555"/>
      <c r="V309" s="122"/>
      <c r="W309" s="555"/>
      <c r="Z309" s="635"/>
      <c r="AA309" s="592"/>
    </row>
    <row r="310" spans="1:27" ht="12" customHeight="1">
      <c r="A310" s="423">
        <v>0.22</v>
      </c>
      <c r="B310" s="629">
        <v>0.34029999999999999</v>
      </c>
      <c r="D310" s="423"/>
      <c r="E310" s="511"/>
      <c r="F310" s="129"/>
      <c r="G310" s="624"/>
      <c r="H310" s="625"/>
      <c r="L310" s="628"/>
      <c r="M310" s="629"/>
      <c r="N310" s="629"/>
      <c r="Z310" s="635"/>
      <c r="AA310" s="592"/>
    </row>
    <row r="311" spans="1:27" ht="12" customHeight="1">
      <c r="A311" s="423">
        <v>0.23</v>
      </c>
      <c r="B311" s="629">
        <v>0.33700000000000002</v>
      </c>
      <c r="D311" s="423"/>
      <c r="E311" s="511"/>
      <c r="F311" s="129"/>
      <c r="G311" s="624"/>
      <c r="H311" s="625"/>
      <c r="L311" s="628"/>
      <c r="M311" s="629"/>
      <c r="N311" s="629"/>
      <c r="Z311" s="635"/>
      <c r="AA311" s="592"/>
    </row>
    <row r="312" spans="1:27" ht="12" customHeight="1">
      <c r="A312" s="423">
        <v>0.24</v>
      </c>
      <c r="B312" s="629">
        <v>0.33389999999999997</v>
      </c>
      <c r="D312" s="423"/>
      <c r="E312" s="511"/>
      <c r="F312" s="129"/>
      <c r="G312" s="624"/>
      <c r="H312" s="625"/>
      <c r="L312" s="628"/>
      <c r="M312" s="629"/>
      <c r="N312" s="629"/>
      <c r="Z312" s="635"/>
      <c r="AA312" s="592"/>
    </row>
    <row r="313" spans="1:27" ht="12" customHeight="1">
      <c r="A313" s="423">
        <v>0.25</v>
      </c>
      <c r="B313" s="629">
        <v>0.33090000000000003</v>
      </c>
      <c r="D313" s="423"/>
      <c r="E313" s="511"/>
      <c r="F313" s="129"/>
      <c r="G313" s="624"/>
      <c r="H313" s="625"/>
      <c r="L313" s="628"/>
      <c r="M313" s="629"/>
      <c r="N313" s="629"/>
      <c r="Z313" s="635"/>
      <c r="AA313" s="592"/>
    </row>
    <row r="314" spans="1:27" ht="12" customHeight="1">
      <c r="A314" s="423">
        <v>0.26</v>
      </c>
      <c r="B314" s="629">
        <v>0.3281</v>
      </c>
      <c r="D314" s="423"/>
      <c r="E314" s="511"/>
      <c r="F314" s="129"/>
      <c r="G314" s="624"/>
      <c r="H314" s="625"/>
      <c r="L314" s="628"/>
      <c r="M314" s="629"/>
      <c r="N314" s="629"/>
      <c r="Z314" s="635"/>
      <c r="AA314" s="592"/>
    </row>
    <row r="315" spans="1:27" ht="12" customHeight="1">
      <c r="A315" s="423">
        <v>0.27</v>
      </c>
      <c r="B315" s="629">
        <v>0.32540000000000002</v>
      </c>
      <c r="D315" s="423"/>
      <c r="E315" s="511"/>
      <c r="F315" s="129"/>
      <c r="G315" s="624"/>
      <c r="H315" s="625"/>
      <c r="L315" s="628"/>
      <c r="M315" s="629"/>
      <c r="N315" s="629"/>
      <c r="Z315" s="635"/>
      <c r="AA315" s="592"/>
    </row>
    <row r="316" spans="1:27" ht="12" customHeight="1">
      <c r="A316" s="423">
        <v>0.28000000000000003</v>
      </c>
      <c r="B316" s="629">
        <v>0.32279999999999998</v>
      </c>
      <c r="D316" s="423"/>
      <c r="E316" s="511"/>
      <c r="F316" s="129"/>
      <c r="G316" s="624"/>
      <c r="H316" s="625"/>
      <c r="L316" s="628"/>
      <c r="M316" s="629"/>
      <c r="N316" s="629"/>
      <c r="Z316" s="635"/>
      <c r="AA316" s="592"/>
    </row>
    <row r="317" spans="1:27" ht="12" customHeight="1">
      <c r="A317" s="423">
        <v>0.28999999999999998</v>
      </c>
      <c r="B317" s="629">
        <v>0.32029999999999997</v>
      </c>
      <c r="D317" s="423"/>
      <c r="E317" s="511"/>
      <c r="F317" s="129"/>
      <c r="G317" s="624"/>
      <c r="H317" s="625"/>
      <c r="L317" s="628"/>
      <c r="M317" s="629"/>
      <c r="N317" s="629"/>
      <c r="Z317" s="635"/>
      <c r="AA317" s="592"/>
    </row>
    <row r="318" spans="1:27" ht="12" customHeight="1">
      <c r="A318" s="423">
        <v>0.3</v>
      </c>
      <c r="B318" s="629">
        <v>0.31790000000000002</v>
      </c>
      <c r="D318" s="423"/>
      <c r="E318" s="511"/>
      <c r="F318" s="129"/>
      <c r="G318" s="624"/>
      <c r="H318" s="625"/>
      <c r="L318" s="628"/>
      <c r="M318" s="629"/>
      <c r="N318" s="629"/>
      <c r="Z318" s="635"/>
      <c r="AA318" s="592"/>
    </row>
    <row r="319" spans="1:27" ht="12" customHeight="1">
      <c r="A319" s="423">
        <v>0.31</v>
      </c>
      <c r="B319" s="629">
        <v>0.31569999999999998</v>
      </c>
      <c r="D319" s="423"/>
      <c r="E319" s="511"/>
      <c r="F319" s="129"/>
      <c r="G319" s="624"/>
      <c r="H319" s="625"/>
      <c r="L319" s="628"/>
      <c r="M319" s="629"/>
      <c r="N319" s="629"/>
      <c r="Z319" s="635"/>
      <c r="AA319" s="592"/>
    </row>
    <row r="320" spans="1:27" ht="12" customHeight="1">
      <c r="A320" s="423">
        <v>0.32</v>
      </c>
      <c r="B320" s="629">
        <v>0.3135</v>
      </c>
      <c r="D320" s="423"/>
      <c r="E320" s="511"/>
      <c r="F320" s="129"/>
      <c r="G320" s="624"/>
      <c r="H320" s="625"/>
      <c r="L320" s="628"/>
      <c r="M320" s="629"/>
      <c r="N320" s="629"/>
      <c r="Z320" s="635"/>
      <c r="AA320" s="592"/>
    </row>
    <row r="321" spans="1:27" ht="12" customHeight="1">
      <c r="A321" s="423">
        <v>0.33</v>
      </c>
      <c r="B321" s="629">
        <v>0.31140000000000001</v>
      </c>
      <c r="D321" s="423"/>
      <c r="E321" s="511"/>
      <c r="F321" s="129"/>
      <c r="G321" s="624"/>
      <c r="H321" s="625"/>
      <c r="L321" s="628"/>
      <c r="M321" s="629"/>
      <c r="N321" s="629"/>
      <c r="Z321" s="635"/>
      <c r="AA321" s="592"/>
    </row>
    <row r="322" spans="1:27" ht="12" customHeight="1">
      <c r="A322" s="423">
        <v>0.34</v>
      </c>
      <c r="B322" s="629">
        <v>0.30930000000000002</v>
      </c>
      <c r="D322" s="423"/>
      <c r="E322" s="511"/>
      <c r="F322" s="129"/>
      <c r="G322" s="624"/>
      <c r="H322" s="625"/>
      <c r="L322" s="628"/>
      <c r="M322" s="629"/>
      <c r="N322" s="629"/>
      <c r="Z322" s="635"/>
      <c r="AA322" s="592"/>
    </row>
    <row r="323" spans="1:27" ht="12" customHeight="1">
      <c r="A323" s="423">
        <v>0.35</v>
      </c>
      <c r="B323" s="629">
        <v>0.30740000000000001</v>
      </c>
      <c r="D323" s="423"/>
      <c r="E323" s="511"/>
      <c r="F323" s="129"/>
      <c r="G323" s="624"/>
      <c r="H323" s="625"/>
      <c r="L323" s="628"/>
      <c r="M323" s="629"/>
      <c r="N323" s="629"/>
      <c r="Z323" s="635"/>
      <c r="AA323" s="592"/>
    </row>
    <row r="324" spans="1:27" ht="12" customHeight="1">
      <c r="A324" s="423">
        <v>0.36</v>
      </c>
      <c r="B324" s="629">
        <v>0.30549999999999999</v>
      </c>
      <c r="D324" s="423"/>
      <c r="E324" s="511"/>
      <c r="F324" s="129"/>
      <c r="G324" s="624"/>
      <c r="H324" s="625"/>
      <c r="L324" s="628"/>
      <c r="M324" s="629"/>
      <c r="N324" s="629"/>
      <c r="Z324" s="635"/>
      <c r="AA324" s="592"/>
    </row>
    <row r="325" spans="1:27" ht="12" customHeight="1">
      <c r="A325" s="423">
        <v>0.37</v>
      </c>
      <c r="B325" s="629">
        <v>0.30370000000000003</v>
      </c>
      <c r="D325" s="423"/>
      <c r="E325" s="511"/>
      <c r="F325" s="129"/>
      <c r="G325" s="624"/>
      <c r="H325" s="625"/>
      <c r="L325" s="628"/>
      <c r="M325" s="629"/>
      <c r="N325" s="629"/>
      <c r="Z325" s="635"/>
      <c r="AA325" s="592"/>
    </row>
    <row r="326" spans="1:27" ht="12" customHeight="1">
      <c r="A326" s="423">
        <v>0.38</v>
      </c>
      <c r="B326" s="629">
        <v>0.3019</v>
      </c>
      <c r="D326" s="423"/>
      <c r="E326" s="511"/>
      <c r="F326" s="129"/>
      <c r="G326" s="624"/>
      <c r="H326" s="625"/>
      <c r="L326" s="628"/>
      <c r="M326" s="629"/>
      <c r="N326" s="629"/>
      <c r="Z326" s="635"/>
      <c r="AA326" s="592"/>
    </row>
    <row r="327" spans="1:27" ht="12" customHeight="1">
      <c r="A327" s="423">
        <v>0.39</v>
      </c>
      <c r="B327" s="629">
        <v>0.30020000000000002</v>
      </c>
      <c r="D327" s="423"/>
      <c r="E327" s="511"/>
      <c r="F327" s="129"/>
      <c r="G327" s="624"/>
      <c r="H327" s="625"/>
      <c r="L327" s="628"/>
      <c r="M327" s="629"/>
      <c r="N327" s="629"/>
      <c r="Z327" s="635"/>
      <c r="AA327" s="592"/>
    </row>
    <row r="328" spans="1:27" ht="12" customHeight="1">
      <c r="A328" s="423">
        <v>0.4</v>
      </c>
      <c r="B328" s="629">
        <v>0.29849999999999999</v>
      </c>
      <c r="D328" s="423"/>
      <c r="E328" s="511"/>
      <c r="F328" s="129"/>
      <c r="G328" s="624"/>
      <c r="H328" s="625"/>
      <c r="L328" s="628"/>
      <c r="M328" s="629"/>
      <c r="N328" s="629"/>
      <c r="Z328" s="635"/>
      <c r="AA328" s="592"/>
    </row>
    <row r="329" spans="1:27" ht="12" customHeight="1">
      <c r="A329" s="423">
        <v>0.41</v>
      </c>
      <c r="B329" s="629">
        <v>0.2969</v>
      </c>
      <c r="D329" s="423"/>
      <c r="E329" s="511"/>
      <c r="F329" s="129"/>
      <c r="G329" s="624"/>
      <c r="H329" s="625"/>
      <c r="L329" s="628"/>
      <c r="M329" s="629"/>
      <c r="N329" s="629"/>
      <c r="Z329" s="635"/>
      <c r="AA329" s="592"/>
    </row>
    <row r="330" spans="1:27" ht="12" customHeight="1">
      <c r="A330" s="423">
        <v>0.42</v>
      </c>
      <c r="B330" s="629">
        <v>0.2954</v>
      </c>
      <c r="D330" s="423"/>
      <c r="E330" s="511"/>
      <c r="F330" s="129"/>
      <c r="G330" s="624"/>
      <c r="H330" s="625"/>
      <c r="L330" s="628"/>
      <c r="M330" s="629"/>
      <c r="N330" s="629"/>
      <c r="Z330" s="635"/>
      <c r="AA330" s="592"/>
    </row>
    <row r="331" spans="1:27" ht="12" customHeight="1">
      <c r="A331" s="423">
        <v>0.43</v>
      </c>
      <c r="B331" s="629">
        <v>0.29380000000000001</v>
      </c>
      <c r="D331" s="423"/>
      <c r="E331" s="511"/>
      <c r="F331" s="129"/>
      <c r="G331" s="624"/>
      <c r="H331" s="625"/>
      <c r="L331" s="628"/>
      <c r="M331" s="629"/>
      <c r="N331" s="629"/>
      <c r="Z331" s="635"/>
      <c r="AA331" s="592"/>
    </row>
    <row r="332" spans="1:27" ht="12" customHeight="1">
      <c r="A332" s="423">
        <v>0.44</v>
      </c>
      <c r="B332" s="629">
        <v>0.29239999999999999</v>
      </c>
      <c r="D332" s="423"/>
      <c r="E332" s="511"/>
      <c r="F332" s="129"/>
      <c r="G332" s="624"/>
      <c r="H332" s="625"/>
      <c r="L332" s="628"/>
      <c r="M332" s="629"/>
      <c r="N332" s="629"/>
      <c r="Z332" s="635"/>
      <c r="AA332" s="592"/>
    </row>
    <row r="333" spans="1:27" ht="12" customHeight="1">
      <c r="A333" s="423">
        <v>0.45</v>
      </c>
      <c r="B333" s="629">
        <v>0.29089999999999999</v>
      </c>
      <c r="D333" s="423"/>
      <c r="E333" s="511"/>
      <c r="F333" s="129"/>
      <c r="G333" s="624"/>
      <c r="H333" s="625"/>
      <c r="L333" s="628"/>
      <c r="M333" s="629"/>
      <c r="N333" s="629"/>
      <c r="Z333" s="635"/>
      <c r="AA333" s="592"/>
    </row>
    <row r="334" spans="1:27" ht="12" customHeight="1">
      <c r="A334" s="423">
        <v>0.46</v>
      </c>
      <c r="B334" s="629">
        <v>0.28949999999999998</v>
      </c>
      <c r="D334" s="423"/>
      <c r="E334" s="511"/>
      <c r="F334" s="129"/>
      <c r="G334" s="624"/>
      <c r="H334" s="625"/>
      <c r="L334" s="628"/>
      <c r="M334" s="629"/>
      <c r="N334" s="629"/>
      <c r="Z334" s="635"/>
      <c r="AA334" s="592"/>
    </row>
    <row r="335" spans="1:27" ht="12" customHeight="1">
      <c r="A335" s="423">
        <v>0.47</v>
      </c>
      <c r="B335" s="629">
        <v>0.28820000000000001</v>
      </c>
      <c r="D335" s="423"/>
      <c r="E335" s="511"/>
      <c r="F335" s="129"/>
      <c r="G335" s="624"/>
      <c r="H335" s="625"/>
      <c r="L335" s="628"/>
      <c r="M335" s="629"/>
      <c r="N335" s="629"/>
      <c r="Z335" s="635"/>
      <c r="AA335" s="592"/>
    </row>
    <row r="336" spans="1:27" ht="12" customHeight="1">
      <c r="A336" s="423">
        <v>0.48</v>
      </c>
      <c r="B336" s="629">
        <v>0.2868</v>
      </c>
      <c r="D336" s="423"/>
      <c r="E336" s="511"/>
      <c r="F336" s="129"/>
      <c r="G336" s="624"/>
      <c r="H336" s="625"/>
      <c r="L336" s="628"/>
      <c r="M336" s="629"/>
      <c r="N336" s="629"/>
      <c r="Z336" s="635"/>
      <c r="AA336" s="592"/>
    </row>
    <row r="337" spans="1:27" ht="12" customHeight="1">
      <c r="A337" s="423">
        <v>0.49</v>
      </c>
      <c r="B337" s="629">
        <v>0.28560000000000002</v>
      </c>
      <c r="D337" s="423"/>
      <c r="E337" s="511"/>
      <c r="F337" s="129"/>
      <c r="G337" s="624"/>
      <c r="H337" s="625"/>
      <c r="L337" s="628"/>
      <c r="M337" s="629"/>
      <c r="N337" s="629"/>
      <c r="Z337" s="635"/>
      <c r="AA337" s="592"/>
    </row>
    <row r="338" spans="1:27" ht="12" customHeight="1">
      <c r="A338" s="423">
        <v>0.5</v>
      </c>
      <c r="B338" s="629">
        <v>0.2843</v>
      </c>
      <c r="D338" s="423"/>
      <c r="E338" s="511"/>
      <c r="F338" s="129"/>
      <c r="G338" s="624"/>
      <c r="H338" s="625"/>
      <c r="L338" s="628"/>
      <c r="M338" s="629"/>
      <c r="N338" s="629"/>
      <c r="Z338" s="635"/>
      <c r="AA338" s="592"/>
    </row>
    <row r="339" spans="1:27" ht="12" customHeight="1">
      <c r="A339" s="423">
        <v>0.51</v>
      </c>
      <c r="B339" s="629">
        <v>0.28310000000000002</v>
      </c>
      <c r="D339" s="423"/>
      <c r="E339" s="511"/>
      <c r="F339" s="129"/>
      <c r="G339" s="624"/>
      <c r="H339" s="625"/>
      <c r="L339" s="628"/>
      <c r="M339" s="629"/>
      <c r="N339" s="629"/>
      <c r="Z339" s="635"/>
      <c r="AA339" s="592"/>
    </row>
    <row r="340" spans="1:27" ht="12" customHeight="1">
      <c r="A340" s="423">
        <v>0.52</v>
      </c>
      <c r="B340" s="629">
        <v>0.28189999999999998</v>
      </c>
      <c r="D340" s="423"/>
      <c r="E340" s="511"/>
      <c r="F340" s="129"/>
      <c r="G340" s="624"/>
      <c r="H340" s="625"/>
      <c r="L340" s="628"/>
      <c r="M340" s="629"/>
      <c r="N340" s="629"/>
      <c r="Z340" s="635"/>
      <c r="AA340" s="592"/>
    </row>
    <row r="341" spans="1:27" ht="12" customHeight="1">
      <c r="A341" s="423">
        <v>0.53</v>
      </c>
      <c r="B341" s="629">
        <v>0.28070000000000001</v>
      </c>
      <c r="D341" s="423"/>
      <c r="E341" s="511"/>
      <c r="F341" s="129"/>
      <c r="G341" s="624"/>
      <c r="H341" s="625"/>
      <c r="L341" s="628"/>
      <c r="M341" s="629"/>
      <c r="N341" s="629"/>
      <c r="Z341" s="635"/>
      <c r="AA341" s="592"/>
    </row>
    <row r="342" spans="1:27" ht="12" customHeight="1">
      <c r="A342" s="423">
        <v>0.54</v>
      </c>
      <c r="B342" s="629">
        <v>0.27950000000000003</v>
      </c>
      <c r="D342" s="423"/>
      <c r="E342" s="511"/>
      <c r="F342" s="129"/>
      <c r="G342" s="624"/>
      <c r="H342" s="625"/>
      <c r="L342" s="628"/>
      <c r="M342" s="629"/>
      <c r="N342" s="629"/>
      <c r="Z342" s="635"/>
      <c r="AA342" s="592"/>
    </row>
    <row r="343" spans="1:27" ht="12" customHeight="1">
      <c r="A343" s="423">
        <v>0.55000000000000004</v>
      </c>
      <c r="B343" s="629">
        <v>0.27839999999999998</v>
      </c>
      <c r="D343" s="423"/>
      <c r="E343" s="511"/>
      <c r="F343" s="129"/>
      <c r="G343" s="624"/>
      <c r="H343" s="625"/>
      <c r="L343" s="628"/>
      <c r="M343" s="629"/>
      <c r="N343" s="629"/>
      <c r="Z343" s="635"/>
      <c r="AA343" s="592"/>
    </row>
    <row r="344" spans="1:27" ht="12" customHeight="1">
      <c r="A344" s="423">
        <v>0.56000000000000005</v>
      </c>
      <c r="B344" s="629">
        <v>0.27729999999999999</v>
      </c>
      <c r="D344" s="423"/>
      <c r="E344" s="511"/>
      <c r="F344" s="129"/>
      <c r="G344" s="624"/>
      <c r="H344" s="625"/>
      <c r="L344" s="628"/>
      <c r="M344" s="629"/>
      <c r="N344" s="629"/>
      <c r="Z344" s="635"/>
      <c r="AA344" s="592"/>
    </row>
    <row r="345" spans="1:27" ht="12" customHeight="1">
      <c r="A345" s="423">
        <v>0.56999999999999995</v>
      </c>
      <c r="B345" s="629">
        <v>0.2762</v>
      </c>
      <c r="D345" s="423"/>
      <c r="E345" s="511"/>
      <c r="F345" s="129"/>
      <c r="G345" s="624"/>
      <c r="H345" s="625"/>
      <c r="L345" s="628"/>
      <c r="M345" s="629"/>
      <c r="N345" s="629"/>
      <c r="Z345" s="635"/>
      <c r="AA345" s="592"/>
    </row>
    <row r="346" spans="1:27" ht="12" customHeight="1">
      <c r="A346" s="423">
        <v>0.57999999999999996</v>
      </c>
      <c r="B346" s="629">
        <v>0.2752</v>
      </c>
      <c r="D346" s="423"/>
      <c r="E346" s="511"/>
      <c r="F346" s="129"/>
      <c r="G346" s="624"/>
      <c r="H346" s="625"/>
      <c r="L346" s="628"/>
      <c r="M346" s="629"/>
      <c r="N346" s="629"/>
      <c r="Z346" s="635"/>
      <c r="AA346" s="592"/>
    </row>
    <row r="347" spans="1:27" ht="12" customHeight="1">
      <c r="A347" s="423">
        <v>0.59</v>
      </c>
      <c r="B347" s="629">
        <v>0.2742</v>
      </c>
      <c r="D347" s="423"/>
      <c r="E347" s="511"/>
      <c r="F347" s="129"/>
      <c r="G347" s="624"/>
      <c r="H347" s="625"/>
      <c r="L347" s="628"/>
      <c r="M347" s="629"/>
      <c r="N347" s="629"/>
      <c r="Z347" s="635"/>
      <c r="AA347" s="592"/>
    </row>
    <row r="348" spans="1:27" ht="12" customHeight="1">
      <c r="A348" s="423">
        <v>0.6</v>
      </c>
      <c r="B348" s="629">
        <v>0.2732</v>
      </c>
      <c r="D348" s="423"/>
      <c r="E348" s="511"/>
      <c r="F348" s="129"/>
      <c r="G348" s="624"/>
      <c r="H348" s="625"/>
      <c r="L348" s="628"/>
      <c r="M348" s="629"/>
      <c r="N348" s="629"/>
      <c r="Z348" s="635"/>
      <c r="AA348" s="592"/>
    </row>
    <row r="349" spans="1:27" ht="12" customHeight="1">
      <c r="A349" s="423">
        <v>0.61</v>
      </c>
      <c r="B349" s="629">
        <v>0.2722</v>
      </c>
      <c r="D349" s="423"/>
      <c r="E349" s="511"/>
      <c r="F349" s="129"/>
      <c r="G349" s="624"/>
      <c r="H349" s="625"/>
      <c r="L349" s="628"/>
      <c r="M349" s="629"/>
      <c r="N349" s="629"/>
      <c r="Z349" s="635"/>
      <c r="AA349" s="592"/>
    </row>
    <row r="350" spans="1:27" ht="12" customHeight="1">
      <c r="A350" s="423">
        <v>0.62</v>
      </c>
      <c r="B350" s="629">
        <v>0.2712</v>
      </c>
      <c r="D350" s="423"/>
      <c r="E350" s="511"/>
      <c r="F350" s="129"/>
      <c r="G350" s="624"/>
      <c r="H350" s="625"/>
      <c r="L350" s="628"/>
      <c r="M350" s="629"/>
      <c r="N350" s="629"/>
      <c r="Z350" s="635"/>
      <c r="AA350" s="592"/>
    </row>
    <row r="351" spans="1:27" ht="12" customHeight="1">
      <c r="A351" s="423">
        <v>0.63</v>
      </c>
      <c r="B351" s="629">
        <v>0.27029999999999998</v>
      </c>
      <c r="D351" s="423"/>
      <c r="E351" s="511"/>
      <c r="F351" s="129"/>
      <c r="G351" s="624"/>
      <c r="H351" s="625"/>
      <c r="L351" s="628"/>
      <c r="M351" s="629"/>
      <c r="N351" s="629"/>
      <c r="Z351" s="635"/>
      <c r="AA351" s="592"/>
    </row>
    <row r="352" spans="1:27" ht="12" customHeight="1">
      <c r="A352" s="423">
        <v>0.64</v>
      </c>
      <c r="B352" s="629">
        <v>0.26929999999999998</v>
      </c>
      <c r="D352" s="423"/>
      <c r="E352" s="511"/>
      <c r="F352" s="129"/>
      <c r="G352" s="624"/>
      <c r="H352" s="625"/>
      <c r="L352" s="628"/>
      <c r="M352" s="629"/>
      <c r="N352" s="629"/>
      <c r="Z352" s="635"/>
      <c r="AA352" s="592"/>
    </row>
    <row r="353" spans="1:27" ht="12" customHeight="1">
      <c r="A353" s="423">
        <v>0.65</v>
      </c>
      <c r="B353" s="629">
        <v>0.26840000000000003</v>
      </c>
      <c r="D353" s="423"/>
      <c r="E353" s="511"/>
      <c r="F353" s="129"/>
      <c r="G353" s="624"/>
      <c r="H353" s="625"/>
      <c r="L353" s="628"/>
      <c r="M353" s="629"/>
      <c r="N353" s="629"/>
      <c r="Z353" s="635"/>
      <c r="AA353" s="592"/>
    </row>
    <row r="354" spans="1:27" ht="12" customHeight="1">
      <c r="A354" s="423">
        <v>0.66</v>
      </c>
      <c r="B354" s="629">
        <v>0.26750000000000002</v>
      </c>
      <c r="D354" s="423"/>
      <c r="E354" s="511"/>
      <c r="F354" s="129"/>
      <c r="G354" s="624"/>
      <c r="H354" s="625"/>
      <c r="L354" s="628"/>
      <c r="M354" s="629"/>
      <c r="N354" s="629"/>
      <c r="Z354" s="635"/>
      <c r="AA354" s="592"/>
    </row>
    <row r="355" spans="1:27" ht="12" customHeight="1">
      <c r="A355" s="423">
        <v>0.67</v>
      </c>
      <c r="B355" s="629">
        <v>0.2666</v>
      </c>
      <c r="D355" s="423"/>
      <c r="E355" s="511"/>
      <c r="F355" s="129"/>
      <c r="G355" s="624"/>
      <c r="H355" s="625"/>
      <c r="L355" s="628"/>
      <c r="M355" s="629"/>
      <c r="N355" s="629"/>
      <c r="Z355" s="635"/>
      <c r="AA355" s="592"/>
    </row>
    <row r="356" spans="1:27" ht="12" customHeight="1">
      <c r="A356" s="423">
        <v>0.68</v>
      </c>
      <c r="B356" s="629">
        <v>0.26579999999999998</v>
      </c>
      <c r="D356" s="423"/>
      <c r="E356" s="511"/>
      <c r="F356" s="129"/>
      <c r="G356" s="624"/>
      <c r="H356" s="625"/>
      <c r="L356" s="628"/>
      <c r="M356" s="629"/>
      <c r="N356" s="629"/>
      <c r="Z356" s="635"/>
      <c r="AA356" s="592"/>
    </row>
    <row r="357" spans="1:27" ht="12" customHeight="1">
      <c r="A357" s="423">
        <v>0.69</v>
      </c>
      <c r="B357" s="629">
        <v>0.26490000000000002</v>
      </c>
      <c r="D357" s="423"/>
      <c r="E357" s="511"/>
      <c r="F357" s="129"/>
      <c r="G357" s="624"/>
      <c r="H357" s="625"/>
      <c r="L357" s="628"/>
      <c r="M357" s="629"/>
      <c r="N357" s="629"/>
      <c r="Z357" s="635"/>
      <c r="AA357" s="592"/>
    </row>
    <row r="358" spans="1:27" ht="12" customHeight="1">
      <c r="A358" s="423">
        <v>0.7</v>
      </c>
      <c r="B358" s="629">
        <v>0.2641</v>
      </c>
      <c r="D358" s="423"/>
      <c r="E358" s="511"/>
      <c r="F358" s="129"/>
      <c r="G358" s="624"/>
      <c r="H358" s="625"/>
      <c r="L358" s="628"/>
      <c r="M358" s="629"/>
      <c r="N358" s="629"/>
      <c r="Z358" s="635"/>
      <c r="AA358" s="592"/>
    </row>
    <row r="359" spans="1:27" ht="12" customHeight="1">
      <c r="A359" s="423">
        <v>0.71</v>
      </c>
      <c r="B359" s="629">
        <v>0.26329999999999998</v>
      </c>
      <c r="D359" s="423"/>
      <c r="E359" s="511"/>
      <c r="F359" s="129"/>
      <c r="G359" s="624"/>
      <c r="H359" s="625"/>
      <c r="L359" s="628"/>
      <c r="M359" s="629"/>
      <c r="N359" s="629"/>
      <c r="Z359" s="635"/>
      <c r="AA359" s="592"/>
    </row>
    <row r="360" spans="1:27" ht="12" customHeight="1">
      <c r="A360" s="423">
        <v>0.72</v>
      </c>
      <c r="B360" s="629">
        <v>0.26250000000000001</v>
      </c>
      <c r="D360" s="423"/>
      <c r="E360" s="511"/>
      <c r="F360" s="129"/>
      <c r="G360" s="624"/>
      <c r="H360" s="625"/>
      <c r="L360" s="628"/>
      <c r="M360" s="629"/>
      <c r="N360" s="629"/>
      <c r="Z360" s="635"/>
      <c r="AA360" s="592"/>
    </row>
    <row r="361" spans="1:27" ht="12" customHeight="1">
      <c r="A361" s="423">
        <v>0.73</v>
      </c>
      <c r="B361" s="629">
        <v>0.26169999999999999</v>
      </c>
      <c r="D361" s="423"/>
      <c r="E361" s="511"/>
      <c r="F361" s="129"/>
      <c r="G361" s="624"/>
      <c r="H361" s="625"/>
      <c r="L361" s="628"/>
      <c r="M361" s="629"/>
      <c r="N361" s="629"/>
      <c r="Z361" s="635"/>
      <c r="AA361" s="592"/>
    </row>
    <row r="362" spans="1:27" ht="12" customHeight="1">
      <c r="A362" s="423">
        <v>0.74</v>
      </c>
      <c r="B362" s="629">
        <v>0.26090000000000002</v>
      </c>
      <c r="D362" s="423"/>
      <c r="E362" s="511"/>
      <c r="F362" s="129"/>
      <c r="G362" s="624"/>
      <c r="H362" s="625"/>
      <c r="L362" s="628"/>
      <c r="M362" s="629"/>
      <c r="N362" s="629"/>
      <c r="Z362" s="635"/>
      <c r="AA362" s="592"/>
    </row>
    <row r="363" spans="1:27" ht="12" customHeight="1">
      <c r="A363" s="423">
        <v>0.75</v>
      </c>
      <c r="B363" s="629">
        <v>0.2601</v>
      </c>
      <c r="D363" s="423"/>
      <c r="E363" s="511"/>
      <c r="F363" s="129"/>
      <c r="G363" s="624"/>
      <c r="H363" s="625"/>
      <c r="L363" s="628"/>
      <c r="M363" s="629"/>
      <c r="N363" s="629"/>
      <c r="Z363" s="635"/>
      <c r="AA363" s="592"/>
    </row>
    <row r="364" spans="1:27" ht="12" customHeight="1">
      <c r="A364" s="423">
        <v>0.76</v>
      </c>
      <c r="B364" s="629">
        <v>0.25940000000000002</v>
      </c>
      <c r="D364" s="423"/>
      <c r="E364" s="511"/>
      <c r="F364" s="129"/>
      <c r="G364" s="624"/>
      <c r="H364" s="625"/>
      <c r="L364" s="628"/>
      <c r="M364" s="629"/>
      <c r="N364" s="629"/>
      <c r="Z364" s="635"/>
      <c r="AA364" s="592"/>
    </row>
    <row r="365" spans="1:27" ht="12" customHeight="1">
      <c r="A365" s="423">
        <v>0.77</v>
      </c>
      <c r="B365" s="629">
        <v>0.2586</v>
      </c>
      <c r="D365" s="423"/>
      <c r="E365" s="511"/>
      <c r="F365" s="129"/>
      <c r="G365" s="624"/>
      <c r="H365" s="625"/>
      <c r="L365" s="628"/>
      <c r="M365" s="629"/>
      <c r="N365" s="629"/>
      <c r="Z365" s="635"/>
      <c r="AA365" s="592"/>
    </row>
    <row r="366" spans="1:27" ht="12" customHeight="1">
      <c r="A366" s="423">
        <v>0.78</v>
      </c>
      <c r="B366" s="629">
        <v>0.25790000000000002</v>
      </c>
      <c r="D366" s="423"/>
      <c r="E366" s="511"/>
      <c r="F366" s="129"/>
      <c r="G366" s="624"/>
      <c r="H366" s="625"/>
      <c r="L366" s="628"/>
      <c r="M366" s="629"/>
      <c r="N366" s="629"/>
      <c r="Z366" s="635"/>
      <c r="AA366" s="592"/>
    </row>
    <row r="367" spans="1:27" ht="12" customHeight="1">
      <c r="A367" s="423">
        <v>0.79</v>
      </c>
      <c r="B367" s="629">
        <v>0.25719999999999998</v>
      </c>
      <c r="D367" s="423"/>
      <c r="E367" s="511"/>
      <c r="F367" s="129"/>
      <c r="G367" s="624"/>
      <c r="H367" s="625"/>
      <c r="L367" s="628"/>
      <c r="M367" s="629"/>
      <c r="N367" s="629"/>
      <c r="Z367" s="635"/>
      <c r="AA367" s="592"/>
    </row>
    <row r="368" spans="1:27" ht="12" customHeight="1">
      <c r="A368" s="423">
        <v>0.8</v>
      </c>
      <c r="B368" s="629">
        <v>0.25650000000000001</v>
      </c>
      <c r="D368" s="423"/>
      <c r="E368" s="511"/>
      <c r="F368" s="129"/>
      <c r="G368" s="624"/>
      <c r="H368" s="625"/>
      <c r="L368" s="628"/>
      <c r="M368" s="629"/>
      <c r="N368" s="629"/>
      <c r="Z368" s="635"/>
      <c r="AA368" s="592"/>
    </row>
    <row r="369" spans="1:27" ht="12" customHeight="1">
      <c r="A369" s="423">
        <v>0.81</v>
      </c>
      <c r="B369" s="629">
        <v>0.25580000000000003</v>
      </c>
      <c r="D369" s="423"/>
      <c r="E369" s="511"/>
      <c r="F369" s="129"/>
      <c r="G369" s="624"/>
      <c r="H369" s="625"/>
      <c r="L369" s="628"/>
      <c r="M369" s="629"/>
      <c r="N369" s="629"/>
      <c r="Z369" s="635"/>
      <c r="AA369" s="592"/>
    </row>
    <row r="370" spans="1:27" ht="12" customHeight="1">
      <c r="A370" s="423">
        <v>0.82</v>
      </c>
      <c r="B370" s="629">
        <v>0.25509999999999999</v>
      </c>
      <c r="D370" s="423"/>
      <c r="E370" s="511"/>
      <c r="F370" s="129"/>
      <c r="G370" s="624"/>
      <c r="H370" s="625"/>
      <c r="L370" s="628"/>
      <c r="M370" s="629"/>
      <c r="N370" s="629"/>
      <c r="Z370" s="635"/>
      <c r="AA370" s="592"/>
    </row>
    <row r="371" spans="1:27" ht="12" customHeight="1">
      <c r="A371" s="423">
        <v>0.83</v>
      </c>
      <c r="B371" s="629">
        <v>0.25440000000000002</v>
      </c>
      <c r="D371" s="423"/>
      <c r="E371" s="511"/>
      <c r="F371" s="129"/>
      <c r="G371" s="624"/>
      <c r="H371" s="625"/>
      <c r="L371" s="628"/>
      <c r="M371" s="629"/>
      <c r="N371" s="629"/>
      <c r="Z371" s="635"/>
      <c r="AA371" s="592"/>
    </row>
    <row r="372" spans="1:27" ht="12" customHeight="1">
      <c r="A372" s="423">
        <v>0.84</v>
      </c>
      <c r="B372" s="629">
        <v>0.25380000000000003</v>
      </c>
      <c r="D372" s="423"/>
      <c r="E372" s="511"/>
      <c r="F372" s="129"/>
      <c r="G372" s="624"/>
      <c r="H372" s="625"/>
      <c r="L372" s="628"/>
      <c r="M372" s="629"/>
      <c r="N372" s="629"/>
      <c r="Z372" s="635"/>
      <c r="AA372" s="592"/>
    </row>
    <row r="373" spans="1:27" ht="12" customHeight="1">
      <c r="A373" s="423">
        <v>0.85</v>
      </c>
      <c r="B373" s="629">
        <v>0.25309999999999999</v>
      </c>
      <c r="D373" s="423"/>
      <c r="E373" s="511"/>
      <c r="F373" s="129"/>
      <c r="G373" s="624"/>
      <c r="H373" s="625"/>
      <c r="L373" s="628"/>
      <c r="M373" s="629"/>
      <c r="N373" s="629"/>
      <c r="Z373" s="635"/>
      <c r="AA373" s="592"/>
    </row>
    <row r="374" spans="1:27" ht="12" customHeight="1">
      <c r="A374" s="423">
        <v>0.86</v>
      </c>
      <c r="B374" s="629">
        <v>0.25240000000000001</v>
      </c>
      <c r="D374" s="423"/>
      <c r="E374" s="511"/>
      <c r="F374" s="129"/>
      <c r="G374" s="624"/>
      <c r="H374" s="625"/>
      <c r="L374" s="628"/>
      <c r="M374" s="629"/>
      <c r="N374" s="629"/>
      <c r="Z374" s="635"/>
      <c r="AA374" s="592"/>
    </row>
    <row r="375" spans="1:27" ht="12" customHeight="1">
      <c r="A375" s="423">
        <v>0.87</v>
      </c>
      <c r="B375" s="629">
        <v>0.25180000000000002</v>
      </c>
      <c r="D375" s="423"/>
      <c r="E375" s="511"/>
      <c r="F375" s="129"/>
      <c r="G375" s="624"/>
      <c r="H375" s="625"/>
      <c r="L375" s="628"/>
      <c r="M375" s="629"/>
      <c r="N375" s="629"/>
      <c r="Z375" s="635"/>
      <c r="AA375" s="592"/>
    </row>
    <row r="376" spans="1:27" ht="12" customHeight="1">
      <c r="A376" s="423">
        <v>0.88</v>
      </c>
      <c r="B376" s="629">
        <v>0.25119999999999998</v>
      </c>
      <c r="D376" s="423"/>
      <c r="E376" s="511"/>
      <c r="F376" s="129"/>
      <c r="G376" s="624"/>
      <c r="H376" s="625"/>
      <c r="L376" s="628"/>
      <c r="M376" s="629"/>
      <c r="N376" s="629"/>
      <c r="Z376" s="635"/>
      <c r="AA376" s="592"/>
    </row>
    <row r="377" spans="1:27" ht="12" customHeight="1">
      <c r="A377" s="423">
        <v>0.89</v>
      </c>
      <c r="B377" s="629">
        <v>0.25059999999999999</v>
      </c>
      <c r="D377" s="423"/>
      <c r="E377" s="511"/>
      <c r="F377" s="129"/>
      <c r="G377" s="624"/>
      <c r="H377" s="625"/>
      <c r="L377" s="628"/>
      <c r="M377" s="629"/>
      <c r="N377" s="629"/>
      <c r="Z377" s="635"/>
      <c r="AA377" s="592"/>
    </row>
    <row r="378" spans="1:27" ht="12" customHeight="1">
      <c r="A378" s="423">
        <v>0.9</v>
      </c>
      <c r="B378" s="629">
        <v>0.24990000000000001</v>
      </c>
      <c r="D378" s="423"/>
      <c r="E378" s="511"/>
      <c r="F378" s="129"/>
      <c r="G378" s="624"/>
      <c r="H378" s="625"/>
      <c r="L378" s="628"/>
      <c r="M378" s="629"/>
      <c r="N378" s="629"/>
      <c r="Z378" s="635"/>
      <c r="AA378" s="592"/>
    </row>
    <row r="379" spans="1:27" ht="12" customHeight="1">
      <c r="A379" s="423">
        <v>0.91</v>
      </c>
      <c r="B379" s="629">
        <v>0.24929999999999999</v>
      </c>
      <c r="D379" s="423"/>
      <c r="E379" s="511"/>
      <c r="F379" s="129"/>
      <c r="G379" s="624"/>
      <c r="H379" s="625"/>
      <c r="L379" s="628"/>
      <c r="M379" s="629"/>
      <c r="N379" s="629"/>
      <c r="Z379" s="635"/>
      <c r="AA379" s="592"/>
    </row>
    <row r="380" spans="1:27" ht="12" customHeight="1">
      <c r="A380" s="423">
        <v>0.92</v>
      </c>
      <c r="B380" s="629">
        <v>0.2487</v>
      </c>
      <c r="D380" s="423"/>
      <c r="E380" s="511"/>
      <c r="F380" s="129"/>
      <c r="G380" s="624"/>
      <c r="H380" s="625"/>
      <c r="L380" s="628"/>
      <c r="M380" s="629"/>
      <c r="N380" s="629"/>
      <c r="Z380" s="635"/>
      <c r="AA380" s="592"/>
    </row>
    <row r="381" spans="1:27" ht="12" customHeight="1">
      <c r="A381" s="423">
        <v>0.93</v>
      </c>
      <c r="B381" s="629">
        <v>0.2482</v>
      </c>
      <c r="D381" s="423"/>
      <c r="E381" s="511"/>
      <c r="F381" s="129"/>
      <c r="G381" s="624"/>
      <c r="H381" s="625"/>
      <c r="L381" s="628"/>
      <c r="M381" s="629"/>
      <c r="N381" s="629"/>
      <c r="Z381" s="635"/>
      <c r="AA381" s="592"/>
    </row>
    <row r="382" spans="1:27" ht="12" customHeight="1">
      <c r="A382" s="423">
        <v>0.94</v>
      </c>
      <c r="B382" s="629">
        <v>0.24759999999999999</v>
      </c>
      <c r="D382" s="423"/>
      <c r="E382" s="511"/>
      <c r="F382" s="129"/>
      <c r="G382" s="624"/>
      <c r="H382" s="625"/>
      <c r="L382" s="628"/>
      <c r="M382" s="629"/>
      <c r="N382" s="629"/>
      <c r="Z382" s="635"/>
      <c r="AA382" s="592"/>
    </row>
    <row r="383" spans="1:27" ht="12" customHeight="1">
      <c r="A383" s="423">
        <v>0.95</v>
      </c>
      <c r="B383" s="629">
        <v>0.247</v>
      </c>
      <c r="D383" s="423"/>
      <c r="E383" s="511"/>
      <c r="F383" s="129"/>
      <c r="G383" s="624"/>
      <c r="H383" s="625"/>
      <c r="L383" s="628"/>
      <c r="M383" s="629"/>
      <c r="N383" s="629"/>
      <c r="Z383" s="635"/>
      <c r="AA383" s="592"/>
    </row>
    <row r="384" spans="1:27" ht="12" customHeight="1">
      <c r="A384" s="423">
        <v>0.96</v>
      </c>
      <c r="B384" s="629">
        <v>0.24640000000000001</v>
      </c>
      <c r="D384" s="423"/>
      <c r="E384" s="511"/>
      <c r="F384" s="129"/>
      <c r="G384" s="624"/>
      <c r="H384" s="625"/>
      <c r="L384" s="628"/>
      <c r="M384" s="629"/>
      <c r="N384" s="629"/>
      <c r="Z384" s="635"/>
      <c r="AA384" s="592"/>
    </row>
    <row r="385" spans="1:27" ht="12" customHeight="1">
      <c r="A385" s="423">
        <v>0.97</v>
      </c>
      <c r="B385" s="629">
        <v>0.24590000000000001</v>
      </c>
      <c r="D385" s="423"/>
      <c r="E385" s="511"/>
      <c r="F385" s="129"/>
      <c r="G385" s="624"/>
      <c r="H385" s="625"/>
      <c r="L385" s="628"/>
      <c r="M385" s="629"/>
      <c r="N385" s="629"/>
      <c r="Z385" s="635"/>
      <c r="AA385" s="592"/>
    </row>
    <row r="386" spans="1:27" ht="12" customHeight="1">
      <c r="A386" s="423">
        <v>0.98</v>
      </c>
      <c r="B386" s="629">
        <v>0.24529999999999999</v>
      </c>
      <c r="D386" s="423"/>
      <c r="E386" s="511"/>
      <c r="F386" s="129"/>
      <c r="G386" s="624"/>
      <c r="H386" s="625"/>
      <c r="L386" s="628"/>
      <c r="M386" s="629"/>
      <c r="N386" s="629"/>
      <c r="Z386" s="635"/>
      <c r="AA386" s="592"/>
    </row>
    <row r="387" spans="1:27" ht="12" customHeight="1">
      <c r="A387" s="423">
        <v>0.99</v>
      </c>
      <c r="B387" s="629">
        <v>0.24479999999999999</v>
      </c>
      <c r="D387" s="423"/>
      <c r="E387" s="511"/>
      <c r="F387" s="129"/>
      <c r="G387" s="624"/>
      <c r="H387" s="625"/>
      <c r="L387" s="628"/>
      <c r="M387" s="629"/>
      <c r="N387" s="629"/>
      <c r="Z387" s="635"/>
      <c r="AA387" s="592"/>
    </row>
    <row r="388" spans="1:27" ht="12" customHeight="1">
      <c r="A388" s="423">
        <v>1</v>
      </c>
      <c r="B388" s="629">
        <v>0.2442</v>
      </c>
      <c r="D388" s="423"/>
      <c r="E388" s="511"/>
      <c r="F388" s="129"/>
      <c r="G388" s="624"/>
      <c r="H388" s="625"/>
      <c r="L388" s="628"/>
      <c r="M388" s="629"/>
      <c r="N388" s="629"/>
      <c r="Z388" s="635"/>
      <c r="AA388" s="592"/>
    </row>
    <row r="389" spans="1:27" ht="12" customHeight="1">
      <c r="A389" s="423">
        <v>1.01</v>
      </c>
      <c r="B389" s="629">
        <v>0.2437</v>
      </c>
      <c r="D389" s="423"/>
      <c r="E389" s="511"/>
      <c r="F389" s="129"/>
      <c r="G389" s="624"/>
      <c r="H389" s="625"/>
      <c r="L389" s="628"/>
      <c r="M389" s="629"/>
      <c r="N389" s="629"/>
      <c r="Z389" s="635"/>
      <c r="AA389" s="592"/>
    </row>
    <row r="390" spans="1:27" ht="12" customHeight="1">
      <c r="A390" s="423">
        <v>1.02</v>
      </c>
      <c r="B390" s="629">
        <v>0.2432</v>
      </c>
      <c r="D390" s="423"/>
      <c r="E390" s="511"/>
      <c r="F390" s="129"/>
      <c r="G390" s="624"/>
      <c r="H390" s="625"/>
      <c r="L390" s="628"/>
      <c r="M390" s="629"/>
      <c r="N390" s="629"/>
      <c r="Z390" s="635"/>
      <c r="AA390" s="592"/>
    </row>
    <row r="391" spans="1:27" ht="12" customHeight="1">
      <c r="A391" s="423">
        <v>1.03</v>
      </c>
      <c r="B391" s="629">
        <v>0.2427</v>
      </c>
      <c r="D391" s="423"/>
      <c r="E391" s="511"/>
      <c r="F391" s="129"/>
      <c r="G391" s="624"/>
      <c r="H391" s="625"/>
      <c r="L391" s="628"/>
      <c r="M391" s="629"/>
      <c r="N391" s="629"/>
      <c r="Z391" s="635"/>
      <c r="AA391" s="592"/>
    </row>
    <row r="392" spans="1:27" ht="12" customHeight="1">
      <c r="A392" s="423">
        <v>1.04</v>
      </c>
      <c r="B392" s="629">
        <v>0.2422</v>
      </c>
      <c r="D392" s="423"/>
      <c r="E392" s="511"/>
      <c r="F392" s="129"/>
      <c r="G392" s="624"/>
      <c r="H392" s="625"/>
      <c r="L392" s="628"/>
      <c r="M392" s="629"/>
      <c r="N392" s="629"/>
      <c r="Z392" s="635"/>
      <c r="AA392" s="592"/>
    </row>
    <row r="393" spans="1:27" ht="12" customHeight="1">
      <c r="A393" s="423">
        <v>1.05</v>
      </c>
      <c r="B393" s="629">
        <v>0.2417</v>
      </c>
      <c r="D393" s="423"/>
      <c r="E393" s="511"/>
      <c r="F393" s="129"/>
      <c r="G393" s="624"/>
      <c r="H393" s="625"/>
      <c r="L393" s="628"/>
      <c r="M393" s="629"/>
      <c r="N393" s="629"/>
      <c r="Z393" s="635"/>
      <c r="AA393" s="592"/>
    </row>
    <row r="394" spans="1:27" ht="12" customHeight="1">
      <c r="A394" s="423">
        <v>1.06</v>
      </c>
      <c r="B394" s="629">
        <v>0.2412</v>
      </c>
      <c r="D394" s="423"/>
      <c r="E394" s="511"/>
      <c r="F394" s="129"/>
      <c r="G394" s="624"/>
      <c r="H394" s="625"/>
      <c r="L394" s="628"/>
      <c r="M394" s="629"/>
      <c r="N394" s="629"/>
      <c r="Z394" s="635"/>
      <c r="AA394" s="592"/>
    </row>
    <row r="395" spans="1:27" ht="12" customHeight="1">
      <c r="A395" s="423">
        <v>1.07</v>
      </c>
      <c r="B395" s="629">
        <v>0.2407</v>
      </c>
      <c r="D395" s="423"/>
      <c r="E395" s="511"/>
      <c r="F395" s="129"/>
      <c r="G395" s="624"/>
      <c r="H395" s="625"/>
      <c r="L395" s="628"/>
      <c r="M395" s="629"/>
      <c r="N395" s="629"/>
      <c r="Z395" s="635"/>
      <c r="AA395" s="592"/>
    </row>
    <row r="396" spans="1:27" ht="12" customHeight="1">
      <c r="A396" s="423">
        <v>1.08</v>
      </c>
      <c r="B396" s="629">
        <v>0.2402</v>
      </c>
      <c r="D396" s="423"/>
      <c r="E396" s="511"/>
      <c r="F396" s="129"/>
      <c r="G396" s="624"/>
      <c r="H396" s="625"/>
      <c r="L396" s="628"/>
      <c r="M396" s="629"/>
      <c r="N396" s="629"/>
      <c r="Z396" s="635"/>
      <c r="AA396" s="592"/>
    </row>
    <row r="397" spans="1:27" ht="12" customHeight="1">
      <c r="A397" s="423">
        <v>1.0900000000000001</v>
      </c>
      <c r="B397" s="629">
        <v>0.2397</v>
      </c>
      <c r="D397" s="423"/>
      <c r="E397" s="511"/>
      <c r="F397" s="129"/>
      <c r="G397" s="624"/>
      <c r="H397" s="625"/>
      <c r="L397" s="628"/>
      <c r="M397" s="629"/>
      <c r="N397" s="629"/>
      <c r="Z397" s="635"/>
      <c r="AA397" s="592"/>
    </row>
    <row r="398" spans="1:27" ht="12" customHeight="1">
      <c r="A398" s="423">
        <v>1.1000000000000001</v>
      </c>
      <c r="B398" s="629">
        <v>0.2392</v>
      </c>
      <c r="D398" s="423"/>
      <c r="E398" s="511"/>
      <c r="F398" s="129"/>
      <c r="G398" s="624"/>
      <c r="H398" s="625"/>
      <c r="L398" s="628"/>
      <c r="M398" s="629"/>
      <c r="N398" s="629"/>
      <c r="Z398" s="635"/>
      <c r="AA398" s="592"/>
    </row>
    <row r="399" spans="1:27" ht="12" customHeight="1">
      <c r="A399" s="423">
        <v>1.1100000000000001</v>
      </c>
      <c r="B399" s="629">
        <v>0.2387</v>
      </c>
      <c r="D399" s="423"/>
      <c r="E399" s="511"/>
      <c r="F399" s="129"/>
      <c r="G399" s="624"/>
      <c r="H399" s="625"/>
      <c r="L399" s="628"/>
      <c r="M399" s="629"/>
      <c r="N399" s="629"/>
      <c r="Z399" s="635"/>
      <c r="AA399" s="592"/>
    </row>
    <row r="400" spans="1:27" ht="12" customHeight="1">
      <c r="A400" s="423">
        <v>1.1200000000000001</v>
      </c>
      <c r="B400" s="629">
        <v>0.23830000000000001</v>
      </c>
      <c r="D400" s="423"/>
      <c r="E400" s="511"/>
      <c r="F400" s="129"/>
      <c r="G400" s="624"/>
      <c r="H400" s="625"/>
      <c r="L400" s="628"/>
      <c r="M400" s="629"/>
      <c r="N400" s="629"/>
      <c r="Z400" s="635"/>
      <c r="AA400" s="592"/>
    </row>
    <row r="401" spans="1:27" ht="12" customHeight="1">
      <c r="A401" s="423">
        <v>1.1299999999999999</v>
      </c>
      <c r="B401" s="629">
        <v>0.23780000000000001</v>
      </c>
      <c r="D401" s="423"/>
      <c r="E401" s="511"/>
      <c r="F401" s="129"/>
      <c r="G401" s="624"/>
      <c r="H401" s="625"/>
      <c r="L401" s="628"/>
      <c r="M401" s="629"/>
      <c r="N401" s="629"/>
      <c r="Z401" s="635"/>
      <c r="AA401" s="592"/>
    </row>
    <row r="402" spans="1:27" ht="12" customHeight="1">
      <c r="A402" s="423">
        <v>1.1399999999999999</v>
      </c>
      <c r="B402" s="629">
        <v>0.23730000000000001</v>
      </c>
      <c r="D402" s="423"/>
      <c r="E402" s="511"/>
      <c r="F402" s="129"/>
      <c r="G402" s="624"/>
      <c r="H402" s="625"/>
      <c r="L402" s="628"/>
      <c r="M402" s="629"/>
      <c r="N402" s="629"/>
      <c r="Z402" s="635"/>
      <c r="AA402" s="592"/>
    </row>
    <row r="403" spans="1:27" ht="12" customHeight="1">
      <c r="A403" s="423">
        <v>1.1499999999999999</v>
      </c>
      <c r="B403" s="629">
        <v>0.2369</v>
      </c>
      <c r="D403" s="423"/>
      <c r="E403" s="511"/>
      <c r="F403" s="129"/>
      <c r="G403" s="624"/>
      <c r="H403" s="625"/>
      <c r="L403" s="628"/>
      <c r="M403" s="629"/>
      <c r="N403" s="629"/>
      <c r="Z403" s="635"/>
      <c r="AA403" s="592"/>
    </row>
    <row r="404" spans="1:27" ht="12" customHeight="1">
      <c r="A404" s="423">
        <v>1.1599999999999999</v>
      </c>
      <c r="B404" s="629">
        <v>0.2364</v>
      </c>
      <c r="D404" s="423"/>
      <c r="E404" s="511"/>
      <c r="F404" s="129"/>
      <c r="G404" s="624"/>
      <c r="H404" s="625"/>
      <c r="L404" s="628"/>
      <c r="M404" s="629"/>
      <c r="N404" s="629"/>
      <c r="Z404" s="635"/>
      <c r="AA404" s="592"/>
    </row>
    <row r="405" spans="1:27" ht="12" customHeight="1">
      <c r="A405" s="423">
        <v>1.17</v>
      </c>
      <c r="B405" s="629">
        <v>0.23599999999999999</v>
      </c>
      <c r="D405" s="423"/>
      <c r="E405" s="511"/>
      <c r="F405" s="129"/>
      <c r="G405" s="624"/>
      <c r="H405" s="625"/>
      <c r="L405" s="628"/>
      <c r="M405" s="629"/>
      <c r="N405" s="629"/>
      <c r="Z405" s="635"/>
      <c r="AA405" s="592"/>
    </row>
    <row r="406" spans="1:27" ht="12" customHeight="1">
      <c r="A406" s="423">
        <v>1.18</v>
      </c>
      <c r="B406" s="629">
        <v>0.2356</v>
      </c>
      <c r="D406" s="423"/>
      <c r="E406" s="511"/>
      <c r="F406" s="129"/>
      <c r="G406" s="624"/>
      <c r="H406" s="625"/>
      <c r="L406" s="628"/>
      <c r="M406" s="629"/>
      <c r="N406" s="629"/>
      <c r="Z406" s="635"/>
      <c r="AA406" s="592"/>
    </row>
    <row r="407" spans="1:27" ht="12" customHeight="1">
      <c r="A407" s="423">
        <v>1.19</v>
      </c>
      <c r="B407" s="629">
        <v>0.2351</v>
      </c>
      <c r="D407" s="423"/>
      <c r="E407" s="511"/>
      <c r="F407" s="129"/>
      <c r="G407" s="624"/>
      <c r="H407" s="625"/>
      <c r="L407" s="628"/>
      <c r="M407" s="629"/>
      <c r="N407" s="629"/>
      <c r="Z407" s="635"/>
      <c r="AA407" s="592"/>
    </row>
    <row r="408" spans="1:27" ht="12" customHeight="1">
      <c r="A408" s="423">
        <v>1.2</v>
      </c>
      <c r="B408" s="629">
        <v>0.23469999999999999</v>
      </c>
      <c r="D408" s="423"/>
      <c r="E408" s="511"/>
      <c r="F408" s="129"/>
      <c r="G408" s="624"/>
      <c r="H408" s="625"/>
      <c r="L408" s="628"/>
      <c r="M408" s="629"/>
      <c r="N408" s="629"/>
      <c r="Z408" s="635"/>
      <c r="AA408" s="592"/>
    </row>
    <row r="409" spans="1:27" ht="12" customHeight="1">
      <c r="A409" s="423">
        <v>1.21</v>
      </c>
      <c r="B409" s="629">
        <v>0.23430000000000001</v>
      </c>
      <c r="D409" s="423"/>
      <c r="E409" s="511"/>
      <c r="F409" s="129"/>
      <c r="G409" s="624"/>
      <c r="H409" s="625"/>
      <c r="L409" s="628"/>
      <c r="M409" s="629"/>
      <c r="N409" s="629"/>
      <c r="Z409" s="635"/>
      <c r="AA409" s="592"/>
    </row>
    <row r="410" spans="1:27" ht="12" customHeight="1">
      <c r="A410" s="423">
        <v>1.22</v>
      </c>
      <c r="B410" s="629">
        <v>0.23380000000000001</v>
      </c>
      <c r="D410" s="423"/>
      <c r="E410" s="511"/>
      <c r="F410" s="129"/>
      <c r="G410" s="624"/>
      <c r="H410" s="625"/>
      <c r="L410" s="628"/>
      <c r="M410" s="629"/>
      <c r="N410" s="629"/>
      <c r="Z410" s="635"/>
      <c r="AA410" s="592"/>
    </row>
    <row r="411" spans="1:27" ht="12" customHeight="1">
      <c r="A411" s="423">
        <v>1.23</v>
      </c>
      <c r="B411" s="629">
        <v>0.2334</v>
      </c>
      <c r="D411" s="423"/>
      <c r="E411" s="511"/>
      <c r="F411" s="129"/>
      <c r="G411" s="624"/>
      <c r="H411" s="625"/>
      <c r="L411" s="628"/>
      <c r="M411" s="629"/>
      <c r="N411" s="629"/>
      <c r="Z411" s="635"/>
      <c r="AA411" s="592"/>
    </row>
    <row r="412" spans="1:27" ht="12" customHeight="1">
      <c r="A412" s="423">
        <v>1.24</v>
      </c>
      <c r="B412" s="629">
        <v>0.23300000000000001</v>
      </c>
      <c r="D412" s="423"/>
      <c r="E412" s="511"/>
      <c r="F412" s="129"/>
      <c r="G412" s="624"/>
      <c r="H412" s="625"/>
      <c r="L412" s="628"/>
      <c r="M412" s="629"/>
      <c r="N412" s="629"/>
      <c r="Z412" s="635"/>
      <c r="AA412" s="592"/>
    </row>
    <row r="413" spans="1:27" ht="12" customHeight="1">
      <c r="A413" s="423">
        <v>1.25</v>
      </c>
      <c r="B413" s="629">
        <v>0.2326</v>
      </c>
      <c r="D413" s="423"/>
      <c r="E413" s="511"/>
      <c r="F413" s="129"/>
      <c r="G413" s="624"/>
      <c r="H413" s="625"/>
      <c r="L413" s="628"/>
      <c r="M413" s="629"/>
      <c r="N413" s="629"/>
      <c r="Z413" s="635"/>
      <c r="AA413" s="592"/>
    </row>
    <row r="414" spans="1:27" ht="12" customHeight="1">
      <c r="A414" s="423">
        <v>1.26</v>
      </c>
      <c r="B414" s="629">
        <v>0.23219999999999999</v>
      </c>
      <c r="D414" s="423"/>
      <c r="E414" s="511"/>
      <c r="F414" s="129"/>
      <c r="G414" s="624"/>
      <c r="H414" s="625"/>
      <c r="L414" s="628"/>
      <c r="M414" s="629"/>
      <c r="N414" s="629"/>
      <c r="Z414" s="635"/>
      <c r="AA414" s="592"/>
    </row>
    <row r="415" spans="1:27" ht="12" customHeight="1">
      <c r="A415" s="423">
        <v>1.27</v>
      </c>
      <c r="B415" s="629">
        <v>0.23180000000000001</v>
      </c>
      <c r="D415" s="423"/>
      <c r="E415" s="511"/>
      <c r="F415" s="129"/>
      <c r="G415" s="624"/>
      <c r="H415" s="625"/>
      <c r="L415" s="628"/>
      <c r="M415" s="629"/>
      <c r="N415" s="629"/>
      <c r="Z415" s="635"/>
      <c r="AA415" s="592"/>
    </row>
    <row r="416" spans="1:27" ht="12" customHeight="1">
      <c r="A416" s="423">
        <v>1.28</v>
      </c>
      <c r="B416" s="629">
        <v>0.23139999999999999</v>
      </c>
      <c r="D416" s="423"/>
      <c r="E416" s="511"/>
      <c r="F416" s="129"/>
      <c r="G416" s="624"/>
      <c r="H416" s="625"/>
      <c r="L416" s="628"/>
      <c r="M416" s="629"/>
      <c r="N416" s="629"/>
      <c r="Z416" s="635"/>
      <c r="AA416" s="592"/>
    </row>
    <row r="417" spans="1:27" ht="12" customHeight="1">
      <c r="A417" s="423">
        <v>1.29</v>
      </c>
      <c r="B417" s="629">
        <v>0.23100000000000001</v>
      </c>
      <c r="D417" s="423"/>
      <c r="E417" s="511"/>
      <c r="F417" s="129"/>
      <c r="G417" s="624"/>
      <c r="H417" s="625"/>
      <c r="L417" s="628"/>
      <c r="M417" s="629"/>
      <c r="N417" s="629"/>
      <c r="Z417" s="635"/>
      <c r="AA417" s="592"/>
    </row>
    <row r="418" spans="1:27" ht="12" customHeight="1">
      <c r="A418" s="423">
        <v>1.3</v>
      </c>
      <c r="B418" s="629">
        <v>0.2306</v>
      </c>
      <c r="D418" s="423"/>
      <c r="E418" s="511"/>
      <c r="F418" s="129"/>
      <c r="G418" s="624"/>
      <c r="H418" s="625"/>
      <c r="L418" s="628"/>
      <c r="M418" s="629"/>
      <c r="N418" s="629"/>
      <c r="Z418" s="635"/>
      <c r="AA418" s="592"/>
    </row>
    <row r="419" spans="1:27" ht="12" customHeight="1">
      <c r="A419" s="423">
        <v>1.31</v>
      </c>
      <c r="B419" s="629">
        <v>0.23019999999999999</v>
      </c>
      <c r="D419" s="423"/>
      <c r="E419" s="511"/>
      <c r="F419" s="129"/>
      <c r="G419" s="624"/>
      <c r="H419" s="625"/>
      <c r="L419" s="628"/>
      <c r="M419" s="629"/>
      <c r="N419" s="629"/>
      <c r="Z419" s="635"/>
      <c r="AA419" s="592"/>
    </row>
    <row r="420" spans="1:27" ht="12" customHeight="1">
      <c r="A420" s="423">
        <v>1.32</v>
      </c>
      <c r="B420" s="629">
        <v>0.2298</v>
      </c>
      <c r="D420" s="423"/>
      <c r="E420" s="511"/>
      <c r="F420" s="129"/>
      <c r="G420" s="624"/>
      <c r="H420" s="625"/>
      <c r="L420" s="628"/>
      <c r="M420" s="629"/>
      <c r="N420" s="629"/>
      <c r="Z420" s="635"/>
      <c r="AA420" s="592"/>
    </row>
    <row r="421" spans="1:27" ht="12" customHeight="1">
      <c r="A421" s="423">
        <v>1.33</v>
      </c>
      <c r="B421" s="629">
        <v>0.22950000000000001</v>
      </c>
      <c r="D421" s="423"/>
      <c r="E421" s="511"/>
      <c r="F421" s="129"/>
      <c r="G421" s="624"/>
      <c r="H421" s="625"/>
      <c r="L421" s="628"/>
      <c r="M421" s="629"/>
      <c r="N421" s="629"/>
      <c r="Z421" s="635"/>
      <c r="AA421" s="592"/>
    </row>
    <row r="422" spans="1:27" ht="12" customHeight="1">
      <c r="A422" s="423">
        <v>1.34</v>
      </c>
      <c r="B422" s="629">
        <v>0.2291</v>
      </c>
      <c r="D422" s="423"/>
      <c r="E422" s="511"/>
      <c r="F422" s="129"/>
      <c r="G422" s="624"/>
      <c r="H422" s="625"/>
      <c r="L422" s="628"/>
      <c r="M422" s="629"/>
      <c r="N422" s="629"/>
      <c r="Z422" s="635"/>
      <c r="AA422" s="592"/>
    </row>
    <row r="423" spans="1:27" ht="12" customHeight="1">
      <c r="A423" s="423">
        <v>1.35</v>
      </c>
      <c r="B423" s="629">
        <v>0.22869999999999999</v>
      </c>
      <c r="D423" s="423"/>
      <c r="E423" s="511"/>
      <c r="F423" s="129"/>
      <c r="G423" s="624"/>
      <c r="H423" s="625"/>
      <c r="L423" s="628"/>
      <c r="M423" s="629"/>
      <c r="N423" s="629"/>
      <c r="Z423" s="635"/>
      <c r="AA423" s="592"/>
    </row>
    <row r="424" spans="1:27" ht="12" customHeight="1">
      <c r="A424" s="423">
        <v>1.36</v>
      </c>
      <c r="B424" s="629">
        <v>0.2283</v>
      </c>
      <c r="D424" s="423"/>
      <c r="E424" s="511"/>
      <c r="F424" s="129"/>
      <c r="G424" s="624"/>
      <c r="H424" s="625"/>
      <c r="L424" s="628"/>
      <c r="M424" s="629"/>
      <c r="N424" s="629"/>
      <c r="Z424" s="635"/>
      <c r="AA424" s="592"/>
    </row>
    <row r="425" spans="1:27" ht="12" customHeight="1">
      <c r="A425" s="423">
        <v>1.37</v>
      </c>
      <c r="B425" s="629">
        <v>0.22800000000000001</v>
      </c>
      <c r="D425" s="423"/>
      <c r="E425" s="511"/>
      <c r="F425" s="129"/>
      <c r="G425" s="624"/>
      <c r="H425" s="625"/>
      <c r="L425" s="628"/>
      <c r="M425" s="629"/>
      <c r="N425" s="629"/>
      <c r="Z425" s="635"/>
      <c r="AA425" s="592"/>
    </row>
    <row r="426" spans="1:27" ht="12" customHeight="1">
      <c r="A426" s="423">
        <v>1.38</v>
      </c>
      <c r="B426" s="629">
        <v>0.2276</v>
      </c>
      <c r="D426" s="423"/>
      <c r="E426" s="511"/>
      <c r="F426" s="129"/>
      <c r="G426" s="624"/>
      <c r="H426" s="625"/>
      <c r="L426" s="628"/>
      <c r="M426" s="629"/>
      <c r="N426" s="629"/>
      <c r="Z426" s="635"/>
      <c r="AA426" s="592"/>
    </row>
    <row r="427" spans="1:27" ht="12" customHeight="1">
      <c r="A427" s="423">
        <v>1.39</v>
      </c>
      <c r="B427" s="629">
        <v>0.2273</v>
      </c>
      <c r="D427" s="423"/>
      <c r="E427" s="511"/>
      <c r="F427" s="129"/>
      <c r="G427" s="624"/>
      <c r="H427" s="625"/>
      <c r="L427" s="628"/>
      <c r="M427" s="629"/>
      <c r="N427" s="629"/>
      <c r="Z427" s="635"/>
      <c r="AA427" s="592"/>
    </row>
    <row r="428" spans="1:27" ht="12" customHeight="1">
      <c r="A428" s="423">
        <v>1.4</v>
      </c>
      <c r="B428" s="629">
        <v>0.22689999999999999</v>
      </c>
      <c r="D428" s="423"/>
      <c r="E428" s="511"/>
      <c r="F428" s="129"/>
      <c r="G428" s="624"/>
      <c r="H428" s="625"/>
      <c r="L428" s="628"/>
      <c r="M428" s="629"/>
      <c r="N428" s="629"/>
      <c r="Z428" s="635"/>
      <c r="AA428" s="592"/>
    </row>
    <row r="429" spans="1:27" ht="12" customHeight="1">
      <c r="A429" s="423">
        <v>1.41</v>
      </c>
      <c r="B429" s="629">
        <v>0.22650000000000001</v>
      </c>
      <c r="D429" s="423"/>
      <c r="E429" s="511"/>
      <c r="F429" s="129"/>
      <c r="G429" s="624"/>
      <c r="H429" s="625"/>
      <c r="L429" s="628"/>
      <c r="M429" s="629"/>
      <c r="N429" s="629"/>
      <c r="Z429" s="635"/>
      <c r="AA429" s="592"/>
    </row>
    <row r="430" spans="1:27" ht="12" customHeight="1">
      <c r="A430" s="423">
        <v>1.42</v>
      </c>
      <c r="B430" s="629">
        <v>0.22620000000000001</v>
      </c>
      <c r="D430" s="423"/>
      <c r="E430" s="511"/>
      <c r="F430" s="129"/>
      <c r="G430" s="624"/>
      <c r="H430" s="625"/>
      <c r="L430" s="628"/>
      <c r="M430" s="629"/>
      <c r="N430" s="629"/>
      <c r="Z430" s="635"/>
      <c r="AA430" s="592"/>
    </row>
    <row r="431" spans="1:27" ht="12" customHeight="1">
      <c r="A431" s="423">
        <v>1.43</v>
      </c>
      <c r="B431" s="629">
        <v>0.2258</v>
      </c>
      <c r="D431" s="423"/>
      <c r="E431" s="511"/>
      <c r="F431" s="129"/>
      <c r="G431" s="624"/>
      <c r="H431" s="625"/>
      <c r="L431" s="628"/>
      <c r="M431" s="629"/>
      <c r="N431" s="629"/>
      <c r="Z431" s="635"/>
      <c r="AA431" s="592"/>
    </row>
    <row r="432" spans="1:27" ht="12" customHeight="1">
      <c r="A432" s="423">
        <v>1.44</v>
      </c>
      <c r="B432" s="629">
        <v>0.22550000000000001</v>
      </c>
      <c r="D432" s="423"/>
      <c r="E432" s="511"/>
      <c r="F432" s="129"/>
      <c r="G432" s="624"/>
      <c r="H432" s="625"/>
      <c r="L432" s="628"/>
      <c r="M432" s="629"/>
      <c r="N432" s="629"/>
      <c r="Z432" s="635"/>
      <c r="AA432" s="592"/>
    </row>
    <row r="433" spans="1:27" ht="12" customHeight="1">
      <c r="A433" s="423">
        <v>1.45</v>
      </c>
      <c r="B433" s="629">
        <v>0.22520000000000001</v>
      </c>
      <c r="D433" s="423"/>
      <c r="E433" s="511"/>
      <c r="F433" s="129"/>
      <c r="G433" s="624"/>
      <c r="H433" s="625"/>
      <c r="L433" s="628"/>
      <c r="M433" s="629"/>
      <c r="N433" s="629"/>
      <c r="Z433" s="635"/>
      <c r="AA433" s="592"/>
    </row>
    <row r="434" spans="1:27" ht="12" customHeight="1">
      <c r="A434" s="423">
        <v>1.46</v>
      </c>
      <c r="B434" s="629">
        <v>0.2248</v>
      </c>
      <c r="D434" s="423"/>
      <c r="E434" s="511"/>
      <c r="F434" s="129"/>
      <c r="G434" s="624"/>
      <c r="H434" s="625"/>
      <c r="L434" s="628"/>
      <c r="M434" s="629"/>
      <c r="N434" s="629"/>
      <c r="Z434" s="635"/>
      <c r="AA434" s="592"/>
    </row>
    <row r="435" spans="1:27" ht="12" customHeight="1">
      <c r="A435" s="423">
        <v>1.47</v>
      </c>
      <c r="B435" s="629">
        <v>0.22450000000000001</v>
      </c>
      <c r="D435" s="423"/>
      <c r="E435" s="511"/>
      <c r="F435" s="129"/>
      <c r="G435" s="624"/>
      <c r="H435" s="625"/>
      <c r="L435" s="628"/>
      <c r="M435" s="629"/>
      <c r="N435" s="629"/>
      <c r="Z435" s="635"/>
      <c r="AA435" s="592"/>
    </row>
    <row r="436" spans="1:27" ht="12" customHeight="1">
      <c r="A436" s="423">
        <v>1.48</v>
      </c>
      <c r="B436" s="629">
        <v>0.22420000000000001</v>
      </c>
      <c r="D436" s="423"/>
      <c r="E436" s="511"/>
      <c r="F436" s="129"/>
      <c r="G436" s="624"/>
      <c r="H436" s="625"/>
      <c r="L436" s="628"/>
      <c r="M436" s="629"/>
      <c r="N436" s="629"/>
      <c r="Z436" s="635"/>
      <c r="AA436" s="592"/>
    </row>
    <row r="437" spans="1:27" ht="12" customHeight="1">
      <c r="A437" s="423">
        <v>1.49</v>
      </c>
      <c r="B437" s="629">
        <v>0.2238</v>
      </c>
      <c r="D437" s="423"/>
      <c r="E437" s="511"/>
      <c r="F437" s="129"/>
      <c r="G437" s="624"/>
      <c r="H437" s="625"/>
      <c r="L437" s="628"/>
      <c r="M437" s="629"/>
      <c r="N437" s="629"/>
      <c r="Z437" s="635"/>
      <c r="AA437" s="592"/>
    </row>
    <row r="438" spans="1:27" ht="12" customHeight="1">
      <c r="A438" s="423">
        <v>1.5</v>
      </c>
      <c r="B438" s="629">
        <v>0.2235</v>
      </c>
      <c r="D438" s="423"/>
      <c r="E438" s="511"/>
      <c r="F438" s="129"/>
      <c r="G438" s="624"/>
      <c r="H438" s="625"/>
      <c r="L438" s="628"/>
      <c r="M438" s="629"/>
      <c r="N438" s="629"/>
      <c r="Z438" s="635"/>
      <c r="AA438" s="592"/>
    </row>
    <row r="439" spans="1:27" ht="12" customHeight="1">
      <c r="A439" s="423">
        <v>1.51</v>
      </c>
      <c r="B439" s="629">
        <v>0.22320000000000001</v>
      </c>
      <c r="D439" s="423"/>
      <c r="E439" s="511"/>
      <c r="F439" s="129"/>
      <c r="G439" s="624"/>
      <c r="H439" s="625"/>
      <c r="L439" s="628"/>
      <c r="M439" s="629"/>
      <c r="N439" s="629"/>
      <c r="Z439" s="635"/>
      <c r="AA439" s="592"/>
    </row>
    <row r="440" spans="1:27" ht="12" customHeight="1">
      <c r="A440" s="423">
        <v>1.52</v>
      </c>
      <c r="B440" s="629">
        <v>0.2228</v>
      </c>
      <c r="D440" s="423"/>
      <c r="E440" s="511"/>
      <c r="F440" s="129"/>
      <c r="G440" s="624"/>
      <c r="H440" s="625"/>
      <c r="L440" s="628"/>
      <c r="M440" s="629"/>
      <c r="N440" s="629"/>
      <c r="Z440" s="635"/>
      <c r="AA440" s="592"/>
    </row>
    <row r="441" spans="1:27" ht="12" customHeight="1">
      <c r="A441" s="423">
        <v>1.53</v>
      </c>
      <c r="B441" s="629">
        <v>0.2225</v>
      </c>
      <c r="D441" s="423"/>
      <c r="E441" s="511"/>
      <c r="F441" s="129"/>
      <c r="G441" s="624"/>
      <c r="H441" s="625"/>
      <c r="L441" s="628"/>
      <c r="M441" s="629"/>
      <c r="N441" s="629"/>
      <c r="Z441" s="635"/>
      <c r="AA441" s="592"/>
    </row>
    <row r="442" spans="1:27" ht="12" customHeight="1">
      <c r="A442" s="423">
        <v>1.54</v>
      </c>
      <c r="B442" s="629">
        <v>0.22220000000000001</v>
      </c>
      <c r="D442" s="423"/>
      <c r="E442" s="511"/>
      <c r="F442" s="129"/>
      <c r="G442" s="624"/>
      <c r="H442" s="625"/>
      <c r="L442" s="628"/>
      <c r="M442" s="629"/>
      <c r="N442" s="629"/>
      <c r="Z442" s="635"/>
      <c r="AA442" s="592"/>
    </row>
    <row r="443" spans="1:27" ht="12" customHeight="1">
      <c r="A443" s="423">
        <v>1.55</v>
      </c>
      <c r="B443" s="629">
        <v>0.22189999999999999</v>
      </c>
      <c r="D443" s="423"/>
      <c r="E443" s="511"/>
      <c r="F443" s="129"/>
      <c r="G443" s="624"/>
      <c r="H443" s="625"/>
      <c r="L443" s="628"/>
      <c r="M443" s="629"/>
      <c r="N443" s="629"/>
      <c r="Z443" s="635"/>
      <c r="AA443" s="592"/>
    </row>
    <row r="444" spans="1:27" ht="12" customHeight="1">
      <c r="A444" s="423">
        <v>1.56</v>
      </c>
      <c r="B444" s="629">
        <v>0.22159999999999999</v>
      </c>
      <c r="D444" s="423"/>
      <c r="E444" s="511"/>
      <c r="F444" s="129"/>
      <c r="G444" s="624"/>
      <c r="H444" s="625"/>
      <c r="L444" s="628"/>
      <c r="M444" s="629"/>
      <c r="N444" s="629"/>
      <c r="Z444" s="635"/>
      <c r="AA444" s="592"/>
    </row>
    <row r="445" spans="1:27" ht="12" customHeight="1">
      <c r="A445" s="423">
        <v>1.57</v>
      </c>
      <c r="B445" s="629">
        <v>0.2213</v>
      </c>
      <c r="D445" s="423"/>
      <c r="E445" s="511"/>
      <c r="F445" s="129"/>
      <c r="G445" s="624"/>
      <c r="H445" s="625"/>
      <c r="L445" s="628"/>
      <c r="M445" s="629"/>
      <c r="N445" s="629"/>
      <c r="Z445" s="635"/>
      <c r="AA445" s="592"/>
    </row>
    <row r="446" spans="1:27" ht="12" customHeight="1">
      <c r="A446" s="423">
        <v>1.58</v>
      </c>
      <c r="B446" s="629">
        <v>0.221</v>
      </c>
      <c r="D446" s="423"/>
      <c r="E446" s="511"/>
      <c r="F446" s="129"/>
      <c r="G446" s="624"/>
      <c r="H446" s="625"/>
      <c r="L446" s="628"/>
      <c r="M446" s="629"/>
      <c r="N446" s="629"/>
      <c r="Z446" s="635"/>
      <c r="AA446" s="592"/>
    </row>
    <row r="447" spans="1:27" ht="12" customHeight="1">
      <c r="A447" s="423">
        <v>1.59</v>
      </c>
      <c r="B447" s="629">
        <v>0.22070000000000001</v>
      </c>
      <c r="D447" s="423"/>
      <c r="E447" s="511"/>
      <c r="F447" s="129"/>
      <c r="G447" s="624"/>
      <c r="H447" s="625"/>
      <c r="L447" s="628"/>
      <c r="M447" s="629"/>
      <c r="N447" s="629"/>
      <c r="Z447" s="635"/>
      <c r="AA447" s="592"/>
    </row>
    <row r="448" spans="1:27" ht="12" customHeight="1">
      <c r="A448" s="423">
        <v>1.6</v>
      </c>
      <c r="B448" s="629">
        <v>0.22040000000000001</v>
      </c>
      <c r="D448" s="423"/>
      <c r="E448" s="511"/>
      <c r="F448" s="129"/>
      <c r="G448" s="624"/>
      <c r="H448" s="625"/>
      <c r="L448" s="628"/>
      <c r="M448" s="629"/>
      <c r="N448" s="629"/>
      <c r="Z448" s="635"/>
      <c r="AA448" s="592"/>
    </row>
    <row r="449" spans="1:27" ht="12" customHeight="1">
      <c r="A449" s="423">
        <v>1.61</v>
      </c>
      <c r="B449" s="629">
        <v>0.22009999999999999</v>
      </c>
      <c r="D449" s="423"/>
      <c r="E449" s="511"/>
      <c r="F449" s="129"/>
      <c r="G449" s="624"/>
      <c r="H449" s="625"/>
      <c r="L449" s="628"/>
      <c r="M449" s="629"/>
      <c r="N449" s="629"/>
      <c r="Z449" s="635"/>
      <c r="AA449" s="592"/>
    </row>
    <row r="450" spans="1:27" ht="12" customHeight="1">
      <c r="A450" s="423">
        <v>1.62</v>
      </c>
      <c r="B450" s="629">
        <v>0.2198</v>
      </c>
      <c r="D450" s="423"/>
      <c r="E450" s="511"/>
      <c r="F450" s="129"/>
      <c r="G450" s="624"/>
      <c r="H450" s="625"/>
      <c r="L450" s="628"/>
      <c r="M450" s="629"/>
      <c r="N450" s="629"/>
      <c r="Z450" s="635"/>
      <c r="AA450" s="592"/>
    </row>
    <row r="451" spans="1:27" ht="12" customHeight="1">
      <c r="A451" s="423">
        <v>1.63</v>
      </c>
      <c r="B451" s="629">
        <v>0.2195</v>
      </c>
      <c r="D451" s="423"/>
      <c r="E451" s="511"/>
      <c r="F451" s="129"/>
      <c r="G451" s="624"/>
      <c r="H451" s="625"/>
      <c r="L451" s="628"/>
      <c r="M451" s="629"/>
      <c r="N451" s="629"/>
      <c r="Z451" s="635"/>
      <c r="AA451" s="592"/>
    </row>
    <row r="452" spans="1:27" ht="12" customHeight="1">
      <c r="A452" s="423">
        <v>1.64</v>
      </c>
      <c r="B452" s="629">
        <v>0.21920000000000001</v>
      </c>
      <c r="D452" s="423"/>
      <c r="E452" s="511"/>
      <c r="F452" s="129"/>
      <c r="G452" s="624"/>
      <c r="H452" s="625"/>
      <c r="L452" s="628"/>
      <c r="M452" s="629"/>
      <c r="N452" s="629"/>
      <c r="Z452" s="635"/>
      <c r="AA452" s="592"/>
    </row>
    <row r="453" spans="1:27" ht="12" customHeight="1">
      <c r="A453" s="423">
        <v>1.65</v>
      </c>
      <c r="B453" s="629">
        <v>0.21890000000000001</v>
      </c>
      <c r="D453" s="423"/>
      <c r="E453" s="511"/>
      <c r="F453" s="129"/>
      <c r="G453" s="624"/>
      <c r="H453" s="625"/>
      <c r="L453" s="628"/>
      <c r="M453" s="629"/>
      <c r="N453" s="629"/>
      <c r="Z453" s="635"/>
      <c r="AA453" s="592"/>
    </row>
    <row r="454" spans="1:27" ht="12" customHeight="1">
      <c r="A454" s="423">
        <v>1.66</v>
      </c>
      <c r="B454" s="629">
        <v>0.21859999999999999</v>
      </c>
      <c r="D454" s="423"/>
      <c r="E454" s="511"/>
      <c r="F454" s="129"/>
      <c r="G454" s="624"/>
      <c r="H454" s="625"/>
      <c r="L454" s="628"/>
      <c r="M454" s="629"/>
      <c r="N454" s="629"/>
      <c r="Z454" s="635"/>
      <c r="AA454" s="592"/>
    </row>
    <row r="455" spans="1:27" ht="12" customHeight="1">
      <c r="A455" s="423">
        <v>1.67</v>
      </c>
      <c r="B455" s="629">
        <v>0.21829999999999999</v>
      </c>
      <c r="D455" s="423"/>
      <c r="E455" s="511"/>
      <c r="F455" s="129"/>
      <c r="G455" s="624"/>
      <c r="H455" s="625"/>
      <c r="L455" s="628"/>
      <c r="M455" s="629"/>
      <c r="N455" s="629"/>
      <c r="Z455" s="635"/>
      <c r="AA455" s="592"/>
    </row>
    <row r="456" spans="1:27" ht="12" customHeight="1">
      <c r="A456" s="423">
        <v>1.68</v>
      </c>
      <c r="B456" s="629">
        <v>0.218</v>
      </c>
      <c r="D456" s="423"/>
      <c r="E456" s="511"/>
      <c r="F456" s="129"/>
      <c r="G456" s="624"/>
      <c r="H456" s="625"/>
      <c r="L456" s="628"/>
      <c r="M456" s="629"/>
      <c r="N456" s="629"/>
      <c r="Z456" s="635"/>
      <c r="AA456" s="592"/>
    </row>
    <row r="457" spans="1:27" ht="12" customHeight="1">
      <c r="A457" s="423">
        <v>1.69</v>
      </c>
      <c r="B457" s="629">
        <v>0.2177</v>
      </c>
      <c r="D457" s="423"/>
      <c r="E457" s="511"/>
      <c r="F457" s="129"/>
      <c r="G457" s="624"/>
      <c r="H457" s="625"/>
      <c r="L457" s="628"/>
      <c r="M457" s="629"/>
      <c r="N457" s="629"/>
      <c r="Z457" s="635"/>
      <c r="AA457" s="592"/>
    </row>
    <row r="458" spans="1:27" ht="12" customHeight="1">
      <c r="A458" s="423">
        <v>1.7</v>
      </c>
      <c r="B458" s="629">
        <v>0.2175</v>
      </c>
      <c r="D458" s="423"/>
      <c r="E458" s="511"/>
      <c r="F458" s="129"/>
      <c r="G458" s="624"/>
      <c r="H458" s="625"/>
      <c r="L458" s="628"/>
      <c r="M458" s="629"/>
      <c r="N458" s="629"/>
      <c r="Z458" s="635"/>
      <c r="AA458" s="592"/>
    </row>
    <row r="459" spans="1:27" ht="12" customHeight="1">
      <c r="A459" s="423">
        <v>1.71</v>
      </c>
      <c r="B459" s="629">
        <v>0.2172</v>
      </c>
      <c r="D459" s="423"/>
      <c r="E459" s="511"/>
      <c r="F459" s="129"/>
      <c r="G459" s="624"/>
      <c r="H459" s="625"/>
      <c r="L459" s="628"/>
      <c r="M459" s="629"/>
      <c r="N459" s="629"/>
      <c r="Z459" s="635"/>
      <c r="AA459" s="592"/>
    </row>
    <row r="460" spans="1:27" ht="12" customHeight="1">
      <c r="A460" s="423">
        <v>1.72</v>
      </c>
      <c r="B460" s="629">
        <v>0.21690000000000001</v>
      </c>
      <c r="D460" s="423"/>
      <c r="E460" s="511"/>
      <c r="F460" s="129"/>
      <c r="G460" s="624"/>
      <c r="H460" s="625"/>
      <c r="L460" s="628"/>
      <c r="M460" s="629"/>
      <c r="N460" s="629"/>
      <c r="Z460" s="635"/>
      <c r="AA460" s="592"/>
    </row>
    <row r="461" spans="1:27" ht="12" customHeight="1">
      <c r="A461" s="423">
        <v>1.73</v>
      </c>
      <c r="B461" s="629">
        <v>0.21659999999999999</v>
      </c>
      <c r="D461" s="423"/>
      <c r="E461" s="511"/>
      <c r="F461" s="129"/>
      <c r="G461" s="624"/>
      <c r="H461" s="625"/>
      <c r="L461" s="628"/>
      <c r="M461" s="629"/>
      <c r="N461" s="629"/>
      <c r="Z461" s="635"/>
      <c r="AA461" s="592"/>
    </row>
    <row r="462" spans="1:27" ht="12" customHeight="1">
      <c r="A462" s="423">
        <v>1.74</v>
      </c>
      <c r="B462" s="629">
        <v>0.21629999999999999</v>
      </c>
      <c r="D462" s="423"/>
      <c r="E462" s="511"/>
      <c r="F462" s="129"/>
      <c r="G462" s="624"/>
      <c r="H462" s="625"/>
      <c r="L462" s="628"/>
      <c r="M462" s="629"/>
      <c r="N462" s="629"/>
      <c r="Z462" s="635"/>
      <c r="AA462" s="592"/>
    </row>
    <row r="463" spans="1:27" ht="12" customHeight="1">
      <c r="A463" s="423">
        <v>1.75</v>
      </c>
      <c r="B463" s="629">
        <v>0.21609999999999999</v>
      </c>
      <c r="D463" s="423"/>
      <c r="E463" s="511"/>
      <c r="F463" s="129"/>
      <c r="G463" s="624"/>
      <c r="H463" s="625"/>
      <c r="L463" s="628"/>
      <c r="M463" s="629"/>
      <c r="N463" s="629"/>
      <c r="Z463" s="635"/>
      <c r="AA463" s="592"/>
    </row>
    <row r="464" spans="1:27" ht="12" customHeight="1">
      <c r="A464" s="423">
        <v>1.76</v>
      </c>
      <c r="B464" s="629">
        <v>0.21579999999999999</v>
      </c>
      <c r="D464" s="423"/>
      <c r="E464" s="511"/>
      <c r="F464" s="129"/>
      <c r="G464" s="624"/>
      <c r="H464" s="625"/>
      <c r="L464" s="628"/>
      <c r="M464" s="629"/>
      <c r="N464" s="629"/>
      <c r="Z464" s="635"/>
      <c r="AA464" s="592"/>
    </row>
    <row r="465" spans="1:27" ht="12" customHeight="1">
      <c r="A465" s="423">
        <v>1.77</v>
      </c>
      <c r="B465" s="629">
        <v>0.2155</v>
      </c>
      <c r="D465" s="423"/>
      <c r="E465" s="511"/>
      <c r="F465" s="129"/>
      <c r="G465" s="624"/>
      <c r="H465" s="625"/>
      <c r="L465" s="628"/>
      <c r="M465" s="629"/>
      <c r="N465" s="629"/>
      <c r="Z465" s="635"/>
      <c r="AA465" s="592"/>
    </row>
    <row r="466" spans="1:27" ht="12" customHeight="1">
      <c r="A466" s="423">
        <v>1.78</v>
      </c>
      <c r="B466" s="629">
        <v>0.21529999999999999</v>
      </c>
      <c r="D466" s="423"/>
      <c r="E466" s="511"/>
      <c r="F466" s="129"/>
      <c r="G466" s="624"/>
      <c r="H466" s="625"/>
      <c r="L466" s="628"/>
      <c r="M466" s="629"/>
      <c r="N466" s="629"/>
      <c r="Z466" s="635"/>
      <c r="AA466" s="592"/>
    </row>
    <row r="467" spans="1:27" ht="12" customHeight="1">
      <c r="A467" s="423">
        <v>1.79</v>
      </c>
      <c r="B467" s="629">
        <v>0.215</v>
      </c>
      <c r="D467" s="423"/>
      <c r="E467" s="511"/>
      <c r="F467" s="129"/>
      <c r="G467" s="624"/>
      <c r="H467" s="625"/>
      <c r="L467" s="628"/>
      <c r="M467" s="629"/>
      <c r="N467" s="629"/>
      <c r="Z467" s="635"/>
      <c r="AA467" s="592"/>
    </row>
    <row r="468" spans="1:27" ht="12" customHeight="1">
      <c r="A468" s="423">
        <v>1.8</v>
      </c>
      <c r="B468" s="629">
        <v>0.2147</v>
      </c>
      <c r="D468" s="423"/>
      <c r="E468" s="511"/>
      <c r="F468" s="129"/>
      <c r="G468" s="624"/>
      <c r="H468" s="625"/>
      <c r="L468" s="628"/>
      <c r="M468" s="629"/>
      <c r="N468" s="629"/>
      <c r="Z468" s="635"/>
      <c r="AA468" s="592"/>
    </row>
    <row r="469" spans="1:27" ht="12" customHeight="1">
      <c r="A469" s="423">
        <v>1.81</v>
      </c>
      <c r="B469" s="629">
        <v>0.2145</v>
      </c>
      <c r="D469" s="423"/>
      <c r="E469" s="511"/>
      <c r="F469" s="129"/>
      <c r="G469" s="624"/>
      <c r="H469" s="625"/>
      <c r="L469" s="628"/>
      <c r="M469" s="629"/>
      <c r="N469" s="629"/>
      <c r="Z469" s="635"/>
      <c r="AA469" s="592"/>
    </row>
    <row r="470" spans="1:27" ht="12" customHeight="1">
      <c r="A470" s="423">
        <v>1.82</v>
      </c>
      <c r="B470" s="629">
        <v>0.2142</v>
      </c>
      <c r="D470" s="423"/>
      <c r="E470" s="511"/>
      <c r="F470" s="129"/>
      <c r="G470" s="624"/>
      <c r="H470" s="625"/>
      <c r="L470" s="628"/>
      <c r="M470" s="629"/>
      <c r="N470" s="629"/>
      <c r="Z470" s="635"/>
      <c r="AA470" s="592"/>
    </row>
    <row r="471" spans="1:27" ht="12" customHeight="1">
      <c r="A471" s="423">
        <v>1.83</v>
      </c>
      <c r="B471" s="629">
        <v>0.214</v>
      </c>
      <c r="D471" s="423"/>
      <c r="E471" s="511"/>
      <c r="F471" s="129"/>
      <c r="G471" s="624"/>
      <c r="H471" s="625"/>
      <c r="L471" s="628"/>
      <c r="M471" s="629"/>
      <c r="N471" s="629"/>
      <c r="Z471" s="635"/>
      <c r="AA471" s="592"/>
    </row>
    <row r="472" spans="1:27" ht="12" customHeight="1">
      <c r="A472" s="423">
        <v>1.84</v>
      </c>
      <c r="B472" s="629">
        <v>0.2137</v>
      </c>
      <c r="D472" s="423"/>
      <c r="E472" s="511"/>
      <c r="F472" s="129"/>
      <c r="G472" s="624"/>
      <c r="H472" s="625"/>
      <c r="L472" s="628"/>
      <c r="M472" s="629"/>
      <c r="N472" s="629"/>
      <c r="Z472" s="635"/>
      <c r="AA472" s="592"/>
    </row>
    <row r="473" spans="1:27" ht="12" customHeight="1">
      <c r="A473" s="423">
        <v>1.85</v>
      </c>
      <c r="B473" s="629">
        <v>0.2135</v>
      </c>
      <c r="D473" s="423"/>
      <c r="E473" s="511"/>
      <c r="F473" s="129"/>
      <c r="G473" s="624"/>
      <c r="H473" s="625"/>
      <c r="L473" s="628"/>
      <c r="M473" s="629"/>
      <c r="N473" s="629"/>
      <c r="Z473" s="635"/>
      <c r="AA473" s="592"/>
    </row>
    <row r="474" spans="1:27" ht="12" customHeight="1">
      <c r="A474" s="423">
        <v>1.86</v>
      </c>
      <c r="B474" s="629">
        <v>0.2132</v>
      </c>
      <c r="D474" s="423"/>
      <c r="E474" s="511"/>
      <c r="F474" s="129"/>
      <c r="G474" s="624"/>
      <c r="H474" s="625"/>
      <c r="L474" s="628"/>
      <c r="M474" s="629"/>
      <c r="N474" s="629"/>
      <c r="Z474" s="635"/>
      <c r="AA474" s="592"/>
    </row>
    <row r="475" spans="1:27" ht="12" customHeight="1">
      <c r="A475" s="423">
        <v>1.87</v>
      </c>
      <c r="B475" s="629">
        <v>0.21299999999999999</v>
      </c>
      <c r="D475" s="423"/>
      <c r="E475" s="511"/>
      <c r="F475" s="129"/>
      <c r="G475" s="624"/>
      <c r="H475" s="625"/>
      <c r="L475" s="628"/>
      <c r="M475" s="629"/>
      <c r="N475" s="629"/>
      <c r="Z475" s="635"/>
      <c r="AA475" s="592"/>
    </row>
    <row r="476" spans="1:27" ht="12" customHeight="1">
      <c r="A476" s="423">
        <v>1.88</v>
      </c>
      <c r="B476" s="629">
        <v>0.2127</v>
      </c>
      <c r="D476" s="423"/>
      <c r="E476" s="511"/>
      <c r="F476" s="129"/>
      <c r="G476" s="624"/>
      <c r="H476" s="625"/>
      <c r="L476" s="628"/>
      <c r="M476" s="629"/>
      <c r="N476" s="629"/>
      <c r="Z476" s="635"/>
      <c r="AA476" s="592"/>
    </row>
    <row r="477" spans="1:27" ht="12" customHeight="1">
      <c r="A477" s="423">
        <v>1.89</v>
      </c>
      <c r="B477" s="629">
        <v>0.21249999999999999</v>
      </c>
      <c r="D477" s="423"/>
      <c r="E477" s="511"/>
      <c r="F477" s="129"/>
      <c r="G477" s="624"/>
      <c r="H477" s="625"/>
      <c r="L477" s="628"/>
      <c r="M477" s="629"/>
      <c r="N477" s="629"/>
      <c r="Z477" s="635"/>
      <c r="AA477" s="592"/>
    </row>
    <row r="478" spans="1:27" ht="12" customHeight="1">
      <c r="A478" s="423">
        <v>1.9</v>
      </c>
      <c r="B478" s="629">
        <v>0.2122</v>
      </c>
      <c r="D478" s="423"/>
      <c r="E478" s="511"/>
      <c r="F478" s="129"/>
      <c r="G478" s="624"/>
      <c r="H478" s="625"/>
      <c r="L478" s="628"/>
      <c r="M478" s="629"/>
      <c r="N478" s="629"/>
      <c r="Z478" s="635"/>
      <c r="AA478" s="592"/>
    </row>
    <row r="479" spans="1:27" ht="12" customHeight="1">
      <c r="A479" s="423">
        <v>1.91</v>
      </c>
      <c r="B479" s="629">
        <v>0.21199999999999999</v>
      </c>
      <c r="D479" s="423"/>
      <c r="E479" s="511"/>
      <c r="F479" s="129"/>
      <c r="G479" s="624"/>
      <c r="H479" s="625"/>
      <c r="L479" s="628"/>
      <c r="M479" s="629"/>
      <c r="N479" s="629"/>
      <c r="Z479" s="635"/>
      <c r="AA479" s="592"/>
    </row>
    <row r="480" spans="1:27" ht="12" customHeight="1">
      <c r="A480" s="423">
        <v>1.92</v>
      </c>
      <c r="B480" s="629">
        <v>0.2117</v>
      </c>
      <c r="D480" s="423"/>
      <c r="E480" s="511"/>
      <c r="F480" s="129"/>
      <c r="G480" s="624"/>
      <c r="H480" s="625"/>
      <c r="L480" s="628"/>
      <c r="M480" s="629"/>
      <c r="N480" s="629"/>
      <c r="Z480" s="635"/>
      <c r="AA480" s="592"/>
    </row>
    <row r="481" spans="1:27" ht="12" customHeight="1">
      <c r="A481" s="423">
        <v>1.93</v>
      </c>
      <c r="B481" s="629">
        <v>0.21149999999999999</v>
      </c>
      <c r="D481" s="423"/>
      <c r="E481" s="511"/>
      <c r="F481" s="129"/>
      <c r="G481" s="624"/>
      <c r="H481" s="625"/>
      <c r="L481" s="628"/>
      <c r="M481" s="629"/>
      <c r="N481" s="629"/>
      <c r="Z481" s="635"/>
      <c r="AA481" s="592"/>
    </row>
    <row r="482" spans="1:27" ht="12" customHeight="1">
      <c r="A482" s="423">
        <v>1.94</v>
      </c>
      <c r="B482" s="629">
        <v>0.21129999999999999</v>
      </c>
      <c r="D482" s="423"/>
      <c r="E482" s="511"/>
      <c r="F482" s="129"/>
      <c r="G482" s="624"/>
      <c r="H482" s="625"/>
      <c r="L482" s="628"/>
      <c r="M482" s="629"/>
      <c r="N482" s="629"/>
      <c r="Z482" s="635"/>
      <c r="AA482" s="592"/>
    </row>
    <row r="483" spans="1:27" ht="12" customHeight="1">
      <c r="A483" s="423">
        <v>1.95</v>
      </c>
      <c r="B483" s="629">
        <v>0.21099999999999999</v>
      </c>
      <c r="D483" s="423"/>
      <c r="E483" s="511"/>
      <c r="F483" s="129"/>
      <c r="G483" s="624"/>
      <c r="H483" s="625"/>
      <c r="L483" s="628"/>
      <c r="M483" s="629"/>
      <c r="N483" s="629"/>
      <c r="Z483" s="635"/>
      <c r="AA483" s="592"/>
    </row>
    <row r="484" spans="1:27" ht="12" customHeight="1">
      <c r="A484" s="423">
        <v>1.96</v>
      </c>
      <c r="B484" s="629">
        <v>0.21079999999999999</v>
      </c>
      <c r="D484" s="423"/>
      <c r="E484" s="511"/>
      <c r="F484" s="129"/>
      <c r="G484" s="624"/>
      <c r="H484" s="625"/>
      <c r="L484" s="628"/>
      <c r="M484" s="629"/>
      <c r="N484" s="629"/>
      <c r="Z484" s="635"/>
      <c r="AA484" s="592"/>
    </row>
    <row r="485" spans="1:27" ht="12" customHeight="1">
      <c r="A485" s="423">
        <v>1.97</v>
      </c>
      <c r="B485" s="629">
        <v>0.21049999999999999</v>
      </c>
      <c r="D485" s="423"/>
      <c r="E485" s="511"/>
      <c r="F485" s="129"/>
      <c r="G485" s="624"/>
      <c r="H485" s="625"/>
      <c r="L485" s="628"/>
      <c r="M485" s="629"/>
      <c r="N485" s="629"/>
      <c r="Z485" s="635"/>
      <c r="AA485" s="592"/>
    </row>
    <row r="486" spans="1:27" ht="12" customHeight="1">
      <c r="A486" s="423">
        <v>1.98</v>
      </c>
      <c r="B486" s="629">
        <v>0.21029999999999999</v>
      </c>
      <c r="D486" s="423"/>
      <c r="E486" s="511"/>
      <c r="F486" s="129"/>
      <c r="G486" s="624"/>
      <c r="H486" s="625"/>
      <c r="L486" s="628"/>
      <c r="M486" s="629"/>
      <c r="N486" s="629"/>
      <c r="Z486" s="635"/>
      <c r="AA486" s="592"/>
    </row>
    <row r="487" spans="1:27" ht="12" customHeight="1">
      <c r="A487" s="423">
        <v>1.99</v>
      </c>
      <c r="B487" s="629">
        <v>0.21010000000000001</v>
      </c>
      <c r="D487" s="423"/>
      <c r="E487" s="511"/>
      <c r="F487" s="129"/>
      <c r="G487" s="624"/>
      <c r="H487" s="625"/>
      <c r="L487" s="628"/>
      <c r="M487" s="629"/>
      <c r="N487" s="629"/>
      <c r="Z487" s="635"/>
      <c r="AA487" s="592"/>
    </row>
    <row r="488" spans="1:27" ht="12" customHeight="1">
      <c r="A488" s="423">
        <v>2</v>
      </c>
      <c r="B488" s="629">
        <v>0.20979999999999999</v>
      </c>
      <c r="D488" s="423"/>
      <c r="E488" s="511"/>
      <c r="F488" s="129"/>
      <c r="G488" s="624"/>
      <c r="H488" s="625"/>
      <c r="L488" s="628"/>
      <c r="M488" s="629"/>
      <c r="N488" s="629"/>
      <c r="Z488" s="635"/>
      <c r="AA488" s="592"/>
    </row>
    <row r="489" spans="1:27" ht="12" customHeight="1">
      <c r="A489" s="423">
        <v>2.0099999999999998</v>
      </c>
      <c r="B489" s="629">
        <v>0.20960000000000001</v>
      </c>
      <c r="D489" s="423"/>
      <c r="E489" s="511"/>
      <c r="F489" s="129"/>
      <c r="G489" s="624"/>
      <c r="H489" s="625"/>
      <c r="L489" s="628"/>
      <c r="M489" s="629"/>
      <c r="N489" s="629"/>
      <c r="Z489" s="635"/>
      <c r="AA489" s="592"/>
    </row>
    <row r="490" spans="1:27" ht="12" customHeight="1">
      <c r="A490" s="423">
        <v>2.02</v>
      </c>
      <c r="B490" s="629">
        <v>0.2094</v>
      </c>
      <c r="D490" s="423"/>
      <c r="E490" s="511"/>
      <c r="F490" s="129"/>
      <c r="G490" s="624"/>
      <c r="H490" s="625"/>
      <c r="L490" s="628"/>
      <c r="M490" s="629"/>
      <c r="N490" s="629"/>
      <c r="Z490" s="635"/>
      <c r="AA490" s="592"/>
    </row>
    <row r="491" spans="1:27" ht="12" customHeight="1">
      <c r="A491" s="423">
        <v>2.0299999999999998</v>
      </c>
      <c r="B491" s="629">
        <v>0.2092</v>
      </c>
      <c r="D491" s="423"/>
      <c r="E491" s="511"/>
      <c r="F491" s="129"/>
      <c r="G491" s="624"/>
      <c r="H491" s="625"/>
      <c r="L491" s="628"/>
      <c r="M491" s="629"/>
      <c r="N491" s="629"/>
      <c r="Z491" s="635"/>
      <c r="AA491" s="592"/>
    </row>
    <row r="492" spans="1:27" ht="12" customHeight="1">
      <c r="A492" s="423">
        <v>2.04</v>
      </c>
      <c r="B492" s="629">
        <v>0.2089</v>
      </c>
      <c r="D492" s="423"/>
      <c r="E492" s="511"/>
      <c r="F492" s="129"/>
      <c r="G492" s="624"/>
      <c r="H492" s="625"/>
      <c r="L492" s="628"/>
      <c r="M492" s="629"/>
      <c r="N492" s="629"/>
      <c r="Z492" s="635"/>
      <c r="AA492" s="592"/>
    </row>
    <row r="493" spans="1:27" ht="12" customHeight="1">
      <c r="A493" s="423">
        <v>2.0499999999999998</v>
      </c>
      <c r="B493" s="629">
        <v>0.2087</v>
      </c>
      <c r="D493" s="423"/>
      <c r="E493" s="511"/>
      <c r="F493" s="129"/>
      <c r="G493" s="624"/>
      <c r="H493" s="625"/>
      <c r="L493" s="628"/>
      <c r="M493" s="629"/>
      <c r="N493" s="629"/>
      <c r="Z493" s="635"/>
      <c r="AA493" s="592"/>
    </row>
    <row r="494" spans="1:27" ht="12" customHeight="1">
      <c r="A494" s="423">
        <v>2.06</v>
      </c>
      <c r="B494" s="629">
        <v>0.20849999999999999</v>
      </c>
      <c r="D494" s="423"/>
      <c r="E494" s="511"/>
      <c r="F494" s="129"/>
      <c r="G494" s="624"/>
      <c r="H494" s="625"/>
      <c r="L494" s="628"/>
      <c r="M494" s="629"/>
      <c r="N494" s="629"/>
      <c r="Z494" s="635"/>
      <c r="AA494" s="592"/>
    </row>
    <row r="495" spans="1:27" ht="12" customHeight="1">
      <c r="A495" s="423">
        <v>2.0699999999999998</v>
      </c>
      <c r="B495" s="629">
        <v>0.20830000000000001</v>
      </c>
      <c r="D495" s="423"/>
      <c r="E495" s="511"/>
      <c r="F495" s="129"/>
      <c r="G495" s="624"/>
      <c r="H495" s="625"/>
      <c r="L495" s="628"/>
      <c r="M495" s="629"/>
      <c r="N495" s="629"/>
      <c r="Z495" s="635"/>
      <c r="AA495" s="592"/>
    </row>
    <row r="496" spans="1:27" ht="12" customHeight="1">
      <c r="A496" s="423">
        <v>2.08</v>
      </c>
      <c r="B496" s="629">
        <v>0.20810000000000001</v>
      </c>
      <c r="D496" s="423"/>
      <c r="E496" s="511"/>
      <c r="F496" s="129"/>
      <c r="G496" s="624"/>
      <c r="H496" s="625"/>
      <c r="L496" s="628"/>
      <c r="M496" s="629"/>
      <c r="N496" s="629"/>
      <c r="Z496" s="635"/>
      <c r="AA496" s="592"/>
    </row>
    <row r="497" spans="1:27" ht="12" customHeight="1">
      <c r="A497" s="423">
        <v>2.09</v>
      </c>
      <c r="B497" s="629">
        <v>0.20780000000000001</v>
      </c>
      <c r="D497" s="423"/>
      <c r="E497" s="511"/>
      <c r="F497" s="129"/>
      <c r="G497" s="624"/>
      <c r="H497" s="625"/>
      <c r="L497" s="628"/>
      <c r="M497" s="629"/>
      <c r="N497" s="629"/>
      <c r="Z497" s="635"/>
      <c r="AA497" s="592"/>
    </row>
    <row r="498" spans="1:27" ht="12" customHeight="1">
      <c r="A498" s="423">
        <v>2.1</v>
      </c>
      <c r="B498" s="629">
        <v>0.20760000000000001</v>
      </c>
      <c r="D498" s="423"/>
      <c r="E498" s="511"/>
      <c r="F498" s="129"/>
      <c r="G498" s="624"/>
      <c r="H498" s="625"/>
      <c r="L498" s="628"/>
      <c r="M498" s="629"/>
      <c r="N498" s="629"/>
      <c r="Z498" s="635"/>
      <c r="AA498" s="592"/>
    </row>
    <row r="499" spans="1:27" ht="12" customHeight="1">
      <c r="A499" s="423">
        <v>2.11</v>
      </c>
      <c r="B499" s="629">
        <v>0.2074</v>
      </c>
      <c r="D499" s="423"/>
      <c r="E499" s="511"/>
      <c r="F499" s="129"/>
      <c r="G499" s="624"/>
      <c r="H499" s="625"/>
      <c r="L499" s="628"/>
      <c r="M499" s="629"/>
      <c r="N499" s="629"/>
      <c r="Z499" s="635"/>
      <c r="AA499" s="592"/>
    </row>
    <row r="500" spans="1:27" ht="12" customHeight="1">
      <c r="A500" s="423">
        <v>2.12</v>
      </c>
      <c r="B500" s="629">
        <v>0.2072</v>
      </c>
      <c r="D500" s="423"/>
      <c r="E500" s="511"/>
      <c r="F500" s="129"/>
      <c r="G500" s="624"/>
      <c r="H500" s="625"/>
      <c r="L500" s="628"/>
      <c r="M500" s="629"/>
      <c r="N500" s="629"/>
      <c r="Z500" s="635"/>
      <c r="AA500" s="592"/>
    </row>
    <row r="501" spans="1:27" ht="12" customHeight="1">
      <c r="A501" s="423">
        <v>2.13</v>
      </c>
      <c r="B501" s="629">
        <v>0.20699999999999999</v>
      </c>
      <c r="D501" s="423"/>
      <c r="E501" s="511"/>
      <c r="F501" s="129"/>
      <c r="G501" s="624"/>
      <c r="H501" s="625"/>
      <c r="L501" s="628"/>
      <c r="M501" s="629"/>
      <c r="N501" s="629"/>
      <c r="Z501" s="635"/>
      <c r="AA501" s="592"/>
    </row>
    <row r="502" spans="1:27" ht="12" customHeight="1">
      <c r="A502" s="423">
        <v>2.14</v>
      </c>
      <c r="B502" s="629">
        <v>0.20680000000000001</v>
      </c>
      <c r="D502" s="423"/>
      <c r="E502" s="511"/>
      <c r="F502" s="129"/>
      <c r="G502" s="624"/>
      <c r="H502" s="625"/>
      <c r="L502" s="628"/>
      <c r="M502" s="629"/>
      <c r="N502" s="629"/>
      <c r="Z502" s="635"/>
      <c r="AA502" s="592"/>
    </row>
    <row r="503" spans="1:27" ht="12" customHeight="1">
      <c r="A503" s="423">
        <v>2.15</v>
      </c>
      <c r="B503" s="629">
        <v>0.20660000000000001</v>
      </c>
      <c r="D503" s="423"/>
      <c r="E503" s="511"/>
      <c r="F503" s="129"/>
      <c r="G503" s="624"/>
      <c r="H503" s="625"/>
      <c r="L503" s="628"/>
      <c r="M503" s="629"/>
      <c r="N503" s="629"/>
      <c r="Z503" s="635"/>
      <c r="AA503" s="592"/>
    </row>
    <row r="504" spans="1:27" ht="12" customHeight="1">
      <c r="A504" s="423">
        <v>2.16</v>
      </c>
      <c r="B504" s="629">
        <v>0.20630000000000001</v>
      </c>
      <c r="D504" s="423"/>
      <c r="E504" s="511"/>
      <c r="F504" s="129"/>
      <c r="G504" s="624"/>
      <c r="H504" s="625"/>
      <c r="L504" s="628"/>
      <c r="M504" s="629"/>
      <c r="N504" s="629"/>
      <c r="Z504" s="635"/>
      <c r="AA504" s="592"/>
    </row>
    <row r="505" spans="1:27" ht="12" customHeight="1">
      <c r="A505" s="423">
        <v>2.17</v>
      </c>
      <c r="B505" s="629">
        <v>0.20610000000000001</v>
      </c>
      <c r="D505" s="423"/>
      <c r="E505" s="511"/>
      <c r="F505" s="129"/>
      <c r="G505" s="624"/>
      <c r="H505" s="625"/>
      <c r="L505" s="628"/>
      <c r="M505" s="629"/>
      <c r="N505" s="629"/>
      <c r="Z505" s="635"/>
      <c r="AA505" s="592"/>
    </row>
    <row r="506" spans="1:27" ht="12" customHeight="1">
      <c r="A506" s="423">
        <v>2.1800000000000002</v>
      </c>
      <c r="B506" s="629">
        <v>0.2059</v>
      </c>
      <c r="D506" s="423"/>
      <c r="E506" s="511"/>
      <c r="F506" s="129"/>
      <c r="G506" s="624"/>
      <c r="H506" s="625"/>
      <c r="L506" s="628"/>
      <c r="M506" s="629"/>
      <c r="N506" s="629"/>
      <c r="Z506" s="635"/>
      <c r="AA506" s="592"/>
    </row>
    <row r="507" spans="1:27" ht="12" customHeight="1">
      <c r="A507" s="423">
        <v>2.19</v>
      </c>
      <c r="B507" s="629">
        <v>0.20569999999999999</v>
      </c>
      <c r="D507" s="423"/>
      <c r="E507" s="511"/>
      <c r="F507" s="129"/>
      <c r="G507" s="624"/>
      <c r="H507" s="625"/>
      <c r="L507" s="628"/>
      <c r="M507" s="629"/>
      <c r="N507" s="629"/>
      <c r="Z507" s="635"/>
      <c r="AA507" s="592"/>
    </row>
    <row r="508" spans="1:27" ht="12" customHeight="1">
      <c r="A508" s="423">
        <v>2.2000000000000002</v>
      </c>
      <c r="B508" s="629">
        <v>0.20549999999999999</v>
      </c>
      <c r="D508" s="423"/>
      <c r="E508" s="511"/>
      <c r="F508" s="129"/>
      <c r="G508" s="624"/>
      <c r="H508" s="625"/>
      <c r="L508" s="628"/>
      <c r="M508" s="629"/>
      <c r="N508" s="629"/>
      <c r="Z508" s="635"/>
      <c r="AA508" s="592"/>
    </row>
    <row r="509" spans="1:27" ht="12" customHeight="1">
      <c r="A509" s="423">
        <v>2.21</v>
      </c>
      <c r="B509" s="629">
        <v>0.20530000000000001</v>
      </c>
      <c r="D509" s="423"/>
      <c r="E509" s="511"/>
      <c r="F509" s="129"/>
      <c r="G509" s="624"/>
      <c r="H509" s="625"/>
      <c r="L509" s="628"/>
      <c r="M509" s="629"/>
      <c r="N509" s="629"/>
      <c r="Z509" s="635"/>
      <c r="AA509" s="592"/>
    </row>
    <row r="510" spans="1:27" ht="12" customHeight="1">
      <c r="A510" s="423">
        <v>2.2200000000000002</v>
      </c>
      <c r="B510" s="629">
        <v>0.2051</v>
      </c>
      <c r="D510" s="423"/>
      <c r="E510" s="511"/>
      <c r="F510" s="129"/>
      <c r="G510" s="624"/>
      <c r="H510" s="625"/>
      <c r="L510" s="628"/>
      <c r="M510" s="629"/>
      <c r="N510" s="629"/>
      <c r="Z510" s="635"/>
      <c r="AA510" s="592"/>
    </row>
    <row r="511" spans="1:27" ht="12" customHeight="1">
      <c r="A511" s="423">
        <v>2.23</v>
      </c>
      <c r="B511" s="629">
        <v>0.2049</v>
      </c>
      <c r="D511" s="423"/>
      <c r="E511" s="511"/>
      <c r="F511" s="129"/>
      <c r="G511" s="624"/>
      <c r="H511" s="625"/>
      <c r="L511" s="628"/>
      <c r="M511" s="629"/>
      <c r="N511" s="629"/>
      <c r="Z511" s="635"/>
      <c r="AA511" s="592"/>
    </row>
    <row r="512" spans="1:27" ht="12" customHeight="1">
      <c r="A512" s="423">
        <v>2.2400000000000002</v>
      </c>
      <c r="B512" s="629">
        <v>0.20469999999999999</v>
      </c>
      <c r="D512" s="423"/>
      <c r="E512" s="511"/>
      <c r="F512" s="129"/>
      <c r="G512" s="624"/>
      <c r="H512" s="625"/>
      <c r="L512" s="628"/>
      <c r="M512" s="629"/>
      <c r="N512" s="629"/>
      <c r="Z512" s="635"/>
      <c r="AA512" s="592"/>
    </row>
    <row r="513" spans="1:27" ht="12" customHeight="1">
      <c r="A513" s="423">
        <v>2.25</v>
      </c>
      <c r="B513" s="629">
        <v>0.20449999999999999</v>
      </c>
      <c r="D513" s="423"/>
      <c r="E513" s="511"/>
      <c r="F513" s="129"/>
      <c r="G513" s="624"/>
      <c r="H513" s="625"/>
      <c r="L513" s="628"/>
      <c r="M513" s="629"/>
      <c r="N513" s="629"/>
      <c r="Z513" s="635"/>
      <c r="AA513" s="592"/>
    </row>
    <row r="514" spans="1:27" ht="12" customHeight="1">
      <c r="A514" s="423">
        <v>2.2599999999999998</v>
      </c>
      <c r="B514" s="629">
        <v>0.20430000000000001</v>
      </c>
      <c r="D514" s="423"/>
      <c r="E514" s="511"/>
      <c r="F514" s="129"/>
      <c r="G514" s="624"/>
      <c r="H514" s="625"/>
      <c r="L514" s="628"/>
      <c r="M514" s="629"/>
      <c r="N514" s="629"/>
      <c r="Z514" s="635"/>
      <c r="AA514" s="592"/>
    </row>
    <row r="515" spans="1:27" ht="12" customHeight="1">
      <c r="A515" s="423">
        <v>2.27</v>
      </c>
      <c r="B515" s="629">
        <v>0.2041</v>
      </c>
      <c r="D515" s="423"/>
      <c r="E515" s="511"/>
      <c r="F515" s="129"/>
      <c r="G515" s="624"/>
      <c r="H515" s="625"/>
      <c r="L515" s="628"/>
      <c r="M515" s="629"/>
      <c r="N515" s="629"/>
      <c r="Z515" s="635"/>
      <c r="AA515" s="592"/>
    </row>
    <row r="516" spans="1:27" ht="12" customHeight="1">
      <c r="A516" s="423">
        <v>2.2799999999999998</v>
      </c>
      <c r="B516" s="629">
        <v>0.2039</v>
      </c>
      <c r="D516" s="423"/>
      <c r="E516" s="511"/>
      <c r="F516" s="129"/>
      <c r="G516" s="624"/>
      <c r="H516" s="625"/>
      <c r="L516" s="628"/>
      <c r="M516" s="629"/>
      <c r="N516" s="629"/>
      <c r="Z516" s="635"/>
      <c r="AA516" s="592"/>
    </row>
    <row r="517" spans="1:27" ht="12" customHeight="1">
      <c r="A517" s="423">
        <v>2.29</v>
      </c>
      <c r="B517" s="629">
        <v>0.20369999999999999</v>
      </c>
      <c r="D517" s="423"/>
      <c r="E517" s="511"/>
      <c r="F517" s="129"/>
      <c r="G517" s="624"/>
      <c r="H517" s="625"/>
      <c r="L517" s="628"/>
      <c r="M517" s="629"/>
      <c r="N517" s="629"/>
      <c r="Z517" s="635"/>
      <c r="AA517" s="592"/>
    </row>
    <row r="518" spans="1:27" ht="12" customHeight="1">
      <c r="A518" s="423">
        <v>2.2999999999999998</v>
      </c>
      <c r="B518" s="629">
        <v>0.20349999999999999</v>
      </c>
      <c r="D518" s="423"/>
      <c r="E518" s="511"/>
      <c r="F518" s="129"/>
      <c r="G518" s="624"/>
      <c r="H518" s="625"/>
      <c r="L518" s="628"/>
      <c r="M518" s="629"/>
      <c r="N518" s="629"/>
      <c r="Z518" s="635"/>
      <c r="AA518" s="592"/>
    </row>
    <row r="519" spans="1:27" ht="12" customHeight="1">
      <c r="A519" s="423">
        <v>2.31</v>
      </c>
      <c r="B519" s="629">
        <v>0.20330000000000001</v>
      </c>
      <c r="D519" s="423"/>
      <c r="E519" s="511"/>
      <c r="F519" s="129"/>
      <c r="G519" s="624"/>
      <c r="H519" s="625"/>
      <c r="L519" s="628"/>
      <c r="M519" s="629"/>
      <c r="N519" s="629"/>
      <c r="Z519" s="635"/>
      <c r="AA519" s="592"/>
    </row>
    <row r="520" spans="1:27" ht="12" customHeight="1">
      <c r="A520" s="423">
        <v>2.3199999999999998</v>
      </c>
      <c r="B520" s="629">
        <v>0.2031</v>
      </c>
      <c r="D520" s="423"/>
      <c r="E520" s="511"/>
      <c r="F520" s="129"/>
      <c r="G520" s="624"/>
      <c r="H520" s="625"/>
      <c r="L520" s="628"/>
      <c r="M520" s="629"/>
      <c r="N520" s="629"/>
      <c r="Z520" s="635"/>
      <c r="AA520" s="592"/>
    </row>
    <row r="521" spans="1:27" ht="12" customHeight="1">
      <c r="A521" s="423">
        <v>2.33</v>
      </c>
      <c r="B521" s="629">
        <v>0.2029</v>
      </c>
      <c r="D521" s="423"/>
      <c r="E521" s="511"/>
      <c r="F521" s="129"/>
      <c r="G521" s="624"/>
      <c r="H521" s="625"/>
      <c r="L521" s="628"/>
      <c r="M521" s="629"/>
      <c r="N521" s="629"/>
      <c r="Z521" s="635"/>
      <c r="AA521" s="592"/>
    </row>
    <row r="522" spans="1:27" ht="12" customHeight="1">
      <c r="A522" s="423">
        <v>2.34</v>
      </c>
      <c r="B522" s="629">
        <v>0.20280000000000001</v>
      </c>
      <c r="D522" s="423"/>
      <c r="E522" s="511"/>
      <c r="F522" s="129"/>
      <c r="G522" s="624"/>
      <c r="H522" s="625"/>
      <c r="L522" s="628"/>
      <c r="M522" s="629"/>
      <c r="N522" s="629"/>
      <c r="Z522" s="635"/>
      <c r="AA522" s="592"/>
    </row>
    <row r="523" spans="1:27" ht="12" customHeight="1">
      <c r="A523" s="423">
        <v>2.35</v>
      </c>
      <c r="B523" s="629">
        <v>0.2026</v>
      </c>
      <c r="D523" s="423"/>
      <c r="E523" s="511"/>
      <c r="F523" s="129"/>
      <c r="G523" s="624"/>
      <c r="H523" s="625"/>
      <c r="L523" s="628"/>
      <c r="M523" s="629"/>
      <c r="N523" s="629"/>
      <c r="Z523" s="635"/>
      <c r="AA523" s="592"/>
    </row>
    <row r="524" spans="1:27" ht="12" customHeight="1">
      <c r="A524" s="423">
        <v>2.36</v>
      </c>
      <c r="B524" s="629">
        <v>0.2024</v>
      </c>
      <c r="D524" s="423"/>
      <c r="E524" s="511"/>
      <c r="F524" s="129"/>
      <c r="G524" s="624"/>
      <c r="H524" s="625"/>
      <c r="L524" s="628"/>
      <c r="M524" s="629"/>
      <c r="N524" s="629"/>
      <c r="Z524" s="635"/>
      <c r="AA524" s="592"/>
    </row>
    <row r="525" spans="1:27" ht="12" customHeight="1">
      <c r="A525" s="423">
        <v>2.37</v>
      </c>
      <c r="B525" s="629">
        <v>0.20219999999999999</v>
      </c>
      <c r="D525" s="423"/>
      <c r="E525" s="511"/>
      <c r="F525" s="129"/>
      <c r="G525" s="624"/>
      <c r="H525" s="625"/>
      <c r="L525" s="628"/>
      <c r="M525" s="629"/>
      <c r="N525" s="629"/>
      <c r="Z525" s="635"/>
      <c r="AA525" s="592"/>
    </row>
    <row r="526" spans="1:27" ht="12" customHeight="1">
      <c r="A526" s="423">
        <v>2.38</v>
      </c>
      <c r="B526" s="629">
        <v>0.20200000000000001</v>
      </c>
      <c r="D526" s="423"/>
      <c r="E526" s="511"/>
      <c r="F526" s="129"/>
      <c r="G526" s="624"/>
      <c r="H526" s="625"/>
      <c r="L526" s="628"/>
      <c r="M526" s="629"/>
      <c r="N526" s="629"/>
      <c r="Z526" s="635"/>
      <c r="AA526" s="592"/>
    </row>
    <row r="527" spans="1:27" ht="12" customHeight="1">
      <c r="A527" s="423">
        <v>2.39</v>
      </c>
      <c r="B527" s="629">
        <v>0.20180000000000001</v>
      </c>
      <c r="D527" s="423"/>
      <c r="E527" s="511"/>
      <c r="F527" s="129"/>
      <c r="G527" s="624"/>
      <c r="H527" s="625"/>
      <c r="L527" s="628"/>
      <c r="M527" s="629"/>
      <c r="N527" s="629"/>
      <c r="Z527" s="635"/>
      <c r="AA527" s="592"/>
    </row>
    <row r="528" spans="1:27" ht="12" customHeight="1">
      <c r="A528" s="423">
        <v>2.4</v>
      </c>
      <c r="B528" s="629">
        <v>0.2016</v>
      </c>
      <c r="D528" s="423"/>
      <c r="E528" s="511"/>
      <c r="F528" s="129"/>
      <c r="G528" s="624"/>
      <c r="H528" s="625"/>
      <c r="L528" s="628"/>
      <c r="M528" s="629"/>
      <c r="N528" s="629"/>
      <c r="Z528" s="635"/>
      <c r="AA528" s="592"/>
    </row>
    <row r="529" spans="1:27" ht="12" customHeight="1">
      <c r="A529" s="423">
        <v>2.41</v>
      </c>
      <c r="B529" s="629">
        <v>0.2014</v>
      </c>
      <c r="D529" s="423"/>
      <c r="E529" s="511"/>
      <c r="F529" s="129"/>
      <c r="G529" s="624"/>
      <c r="H529" s="625"/>
      <c r="L529" s="628"/>
      <c r="M529" s="629"/>
      <c r="N529" s="629"/>
      <c r="Z529" s="635"/>
      <c r="AA529" s="592"/>
    </row>
    <row r="530" spans="1:27" ht="12" customHeight="1">
      <c r="A530" s="423">
        <v>2.42</v>
      </c>
      <c r="B530" s="629">
        <v>0.20130000000000001</v>
      </c>
      <c r="D530" s="423"/>
      <c r="E530" s="511"/>
      <c r="F530" s="129"/>
      <c r="G530" s="624"/>
      <c r="H530" s="625"/>
      <c r="L530" s="628"/>
      <c r="M530" s="629"/>
      <c r="N530" s="629"/>
      <c r="Z530" s="635"/>
      <c r="AA530" s="592"/>
    </row>
    <row r="531" spans="1:27" ht="12" customHeight="1">
      <c r="A531" s="423">
        <v>2.4300000000000002</v>
      </c>
      <c r="B531" s="629">
        <v>0.2011</v>
      </c>
      <c r="D531" s="423"/>
      <c r="E531" s="511"/>
      <c r="F531" s="129"/>
      <c r="G531" s="624"/>
      <c r="H531" s="625"/>
      <c r="L531" s="628"/>
      <c r="M531" s="629"/>
      <c r="N531" s="629"/>
      <c r="Z531" s="635"/>
      <c r="AA531" s="592"/>
    </row>
    <row r="532" spans="1:27" ht="12" customHeight="1">
      <c r="A532" s="423">
        <v>2.44</v>
      </c>
      <c r="B532" s="629">
        <v>0.2009</v>
      </c>
      <c r="D532" s="423"/>
      <c r="E532" s="511"/>
      <c r="F532" s="129"/>
      <c r="G532" s="624"/>
      <c r="H532" s="625"/>
      <c r="L532" s="628"/>
      <c r="M532" s="629"/>
      <c r="N532" s="629"/>
      <c r="Z532" s="635"/>
      <c r="AA532" s="592"/>
    </row>
    <row r="533" spans="1:27" ht="12" customHeight="1">
      <c r="A533" s="423">
        <v>2.4500000000000002</v>
      </c>
      <c r="B533" s="629">
        <v>0.20069999999999999</v>
      </c>
      <c r="D533" s="423"/>
      <c r="E533" s="511"/>
      <c r="F533" s="129"/>
      <c r="G533" s="624"/>
      <c r="H533" s="625"/>
      <c r="L533" s="628"/>
      <c r="M533" s="629"/>
      <c r="N533" s="629"/>
      <c r="Z533" s="635"/>
      <c r="AA533" s="592"/>
    </row>
    <row r="534" spans="1:27" ht="12" customHeight="1">
      <c r="A534" s="423">
        <v>2.46</v>
      </c>
      <c r="B534" s="629">
        <v>0.20050000000000001</v>
      </c>
      <c r="D534" s="423"/>
      <c r="E534" s="511"/>
      <c r="F534" s="129"/>
      <c r="G534" s="624"/>
      <c r="H534" s="625"/>
      <c r="L534" s="628"/>
      <c r="M534" s="629"/>
      <c r="N534" s="629"/>
      <c r="Z534" s="635"/>
      <c r="AA534" s="592"/>
    </row>
    <row r="535" spans="1:27" ht="12" customHeight="1">
      <c r="A535" s="423">
        <v>2.4700000000000002</v>
      </c>
      <c r="B535" s="629">
        <v>0.20039999999999999</v>
      </c>
      <c r="D535" s="423"/>
      <c r="E535" s="511"/>
      <c r="F535" s="129"/>
      <c r="G535" s="624"/>
      <c r="H535" s="625"/>
      <c r="L535" s="628"/>
      <c r="M535" s="629"/>
      <c r="N535" s="629"/>
      <c r="Z535" s="635"/>
      <c r="AA535" s="592"/>
    </row>
    <row r="536" spans="1:27" ht="12" customHeight="1">
      <c r="A536" s="423">
        <v>2.48</v>
      </c>
      <c r="B536" s="629">
        <v>0.20019999999999999</v>
      </c>
      <c r="D536" s="423"/>
      <c r="E536" s="511"/>
      <c r="F536" s="129"/>
      <c r="G536" s="624"/>
      <c r="H536" s="625"/>
      <c r="L536" s="628"/>
      <c r="M536" s="629"/>
      <c r="N536" s="629"/>
      <c r="Z536" s="635"/>
      <c r="AA536" s="592"/>
    </row>
    <row r="537" spans="1:27" ht="12" customHeight="1">
      <c r="A537" s="423">
        <v>2.4900000000000002</v>
      </c>
      <c r="B537" s="629">
        <v>0.2</v>
      </c>
      <c r="D537" s="423"/>
      <c r="E537" s="511"/>
      <c r="F537" s="129"/>
      <c r="G537" s="624"/>
      <c r="H537" s="625"/>
      <c r="L537" s="628"/>
      <c r="M537" s="629"/>
      <c r="N537" s="629"/>
      <c r="Z537" s="635"/>
      <c r="AA537" s="592"/>
    </row>
    <row r="538" spans="1:27" ht="12" customHeight="1">
      <c r="A538" s="423">
        <v>2.5</v>
      </c>
      <c r="B538" s="629">
        <v>0.19980000000000001</v>
      </c>
      <c r="D538" s="423"/>
      <c r="E538" s="511"/>
      <c r="F538" s="129"/>
      <c r="G538" s="624"/>
      <c r="H538" s="625"/>
      <c r="L538" s="628"/>
      <c r="M538" s="629"/>
      <c r="N538" s="629"/>
      <c r="Z538" s="635"/>
      <c r="AA538" s="592"/>
    </row>
    <row r="539" spans="1:27" ht="12" customHeight="1">
      <c r="A539" s="423">
        <v>2.5099999999999998</v>
      </c>
      <c r="B539" s="629">
        <v>0.19969999999999999</v>
      </c>
      <c r="D539" s="423"/>
      <c r="E539" s="511"/>
      <c r="F539" s="129"/>
      <c r="G539" s="624"/>
      <c r="H539" s="625"/>
      <c r="L539" s="628"/>
      <c r="M539" s="629"/>
      <c r="N539" s="629"/>
      <c r="Z539" s="635"/>
      <c r="AA539" s="592"/>
    </row>
    <row r="540" spans="1:27" ht="12" customHeight="1">
      <c r="A540" s="423">
        <v>2.52</v>
      </c>
      <c r="B540" s="629">
        <v>0.19950000000000001</v>
      </c>
      <c r="D540" s="423"/>
      <c r="E540" s="511"/>
      <c r="F540" s="129"/>
      <c r="G540" s="624"/>
      <c r="H540" s="625"/>
      <c r="L540" s="628"/>
      <c r="M540" s="629"/>
      <c r="N540" s="629"/>
      <c r="Z540" s="635"/>
      <c r="AA540" s="592"/>
    </row>
    <row r="541" spans="1:27" ht="12" customHeight="1">
      <c r="A541" s="423">
        <v>2.5299999999999998</v>
      </c>
      <c r="B541" s="629">
        <v>0.1993</v>
      </c>
      <c r="D541" s="423"/>
      <c r="E541" s="511"/>
      <c r="F541" s="129"/>
      <c r="G541" s="624"/>
      <c r="H541" s="625"/>
      <c r="L541" s="628"/>
      <c r="M541" s="629"/>
      <c r="N541" s="629"/>
      <c r="Z541" s="635"/>
      <c r="AA541" s="592"/>
    </row>
    <row r="542" spans="1:27" ht="12" customHeight="1">
      <c r="A542" s="423">
        <v>2.54</v>
      </c>
      <c r="B542" s="629">
        <v>0.1991</v>
      </c>
      <c r="D542" s="423"/>
      <c r="E542" s="511"/>
      <c r="F542" s="129"/>
      <c r="G542" s="624"/>
      <c r="H542" s="625"/>
      <c r="L542" s="628"/>
      <c r="M542" s="629"/>
      <c r="N542" s="629"/>
      <c r="Z542" s="635"/>
      <c r="AA542" s="592"/>
    </row>
    <row r="543" spans="1:27" ht="12" customHeight="1">
      <c r="A543" s="423">
        <v>2.5499999999999998</v>
      </c>
      <c r="B543" s="629">
        <v>0.19900000000000001</v>
      </c>
      <c r="D543" s="423"/>
      <c r="E543" s="511"/>
      <c r="F543" s="129"/>
      <c r="G543" s="624"/>
      <c r="H543" s="625"/>
      <c r="L543" s="628"/>
      <c r="M543" s="629"/>
      <c r="N543" s="629"/>
      <c r="Z543" s="635"/>
      <c r="AA543" s="592"/>
    </row>
    <row r="544" spans="1:27" ht="12" customHeight="1">
      <c r="A544" s="423">
        <v>2.56</v>
      </c>
      <c r="B544" s="629">
        <v>0.1988</v>
      </c>
      <c r="D544" s="423"/>
      <c r="E544" s="511"/>
      <c r="F544" s="129"/>
      <c r="G544" s="624"/>
      <c r="H544" s="625"/>
      <c r="L544" s="628"/>
      <c r="M544" s="629"/>
      <c r="N544" s="629"/>
      <c r="Z544" s="635"/>
      <c r="AA544" s="592"/>
    </row>
    <row r="545" spans="1:27" ht="12" customHeight="1">
      <c r="A545" s="423">
        <v>2.57</v>
      </c>
      <c r="B545" s="629">
        <v>0.1986</v>
      </c>
      <c r="D545" s="423"/>
      <c r="E545" s="511"/>
      <c r="F545" s="129"/>
      <c r="G545" s="624"/>
      <c r="H545" s="625"/>
      <c r="L545" s="628"/>
      <c r="M545" s="629"/>
      <c r="N545" s="629"/>
      <c r="Z545" s="635"/>
      <c r="AA545" s="592"/>
    </row>
    <row r="546" spans="1:27" ht="12" customHeight="1">
      <c r="A546" s="423">
        <v>2.58</v>
      </c>
      <c r="B546" s="629">
        <v>0.19850000000000001</v>
      </c>
      <c r="D546" s="423"/>
      <c r="E546" s="511"/>
      <c r="F546" s="129"/>
      <c r="G546" s="624"/>
      <c r="H546" s="625"/>
      <c r="L546" s="628"/>
      <c r="M546" s="629"/>
      <c r="N546" s="629"/>
      <c r="Z546" s="635"/>
      <c r="AA546" s="592"/>
    </row>
    <row r="547" spans="1:27" ht="12" customHeight="1">
      <c r="A547" s="423">
        <v>2.59</v>
      </c>
      <c r="B547" s="629">
        <v>0.1983</v>
      </c>
      <c r="D547" s="423"/>
      <c r="E547" s="511"/>
      <c r="F547" s="129"/>
      <c r="G547" s="624"/>
      <c r="H547" s="625"/>
      <c r="L547" s="628"/>
      <c r="M547" s="629"/>
      <c r="N547" s="629"/>
      <c r="Z547" s="635"/>
      <c r="AA547" s="592"/>
    </row>
    <row r="548" spans="1:27" ht="12" customHeight="1">
      <c r="A548" s="423">
        <v>2.6</v>
      </c>
      <c r="B548" s="629">
        <v>0.1981</v>
      </c>
      <c r="D548" s="423"/>
      <c r="E548" s="511"/>
      <c r="F548" s="129"/>
      <c r="G548" s="624"/>
      <c r="H548" s="625"/>
      <c r="L548" s="628"/>
      <c r="M548" s="629"/>
      <c r="N548" s="629"/>
      <c r="Z548" s="635"/>
      <c r="AA548" s="592"/>
    </row>
    <row r="549" spans="1:27" ht="12" customHeight="1">
      <c r="A549" s="423">
        <v>2.61</v>
      </c>
      <c r="B549" s="629">
        <v>0.19800000000000001</v>
      </c>
      <c r="D549" s="423"/>
      <c r="E549" s="511"/>
      <c r="F549" s="129"/>
      <c r="G549" s="624"/>
      <c r="H549" s="625"/>
      <c r="L549" s="628"/>
      <c r="M549" s="629"/>
      <c r="N549" s="629"/>
      <c r="Z549" s="635"/>
      <c r="AA549" s="592"/>
    </row>
    <row r="550" spans="1:27" ht="12" customHeight="1">
      <c r="A550" s="423">
        <v>2.62</v>
      </c>
      <c r="B550" s="629">
        <v>0.1978</v>
      </c>
      <c r="D550" s="423"/>
      <c r="E550" s="511"/>
      <c r="F550" s="129"/>
      <c r="G550" s="624"/>
      <c r="H550" s="625"/>
      <c r="L550" s="628"/>
      <c r="M550" s="629"/>
      <c r="N550" s="629"/>
      <c r="Z550" s="635"/>
      <c r="AA550" s="592"/>
    </row>
    <row r="551" spans="1:27" ht="12" customHeight="1">
      <c r="A551" s="423">
        <v>2.63</v>
      </c>
      <c r="B551" s="629">
        <v>0.1976</v>
      </c>
      <c r="D551" s="423"/>
      <c r="E551" s="511"/>
      <c r="F551" s="129"/>
      <c r="G551" s="624"/>
      <c r="H551" s="625"/>
      <c r="L551" s="628"/>
      <c r="M551" s="629"/>
      <c r="N551" s="629"/>
      <c r="Z551" s="635"/>
      <c r="AA551" s="592"/>
    </row>
    <row r="552" spans="1:27" ht="12" customHeight="1">
      <c r="A552" s="423">
        <v>2.64</v>
      </c>
      <c r="B552" s="629">
        <v>0.19750000000000001</v>
      </c>
      <c r="D552" s="423"/>
      <c r="E552" s="511"/>
      <c r="F552" s="129"/>
      <c r="G552" s="624"/>
      <c r="H552" s="625"/>
      <c r="L552" s="628"/>
      <c r="M552" s="629"/>
      <c r="N552" s="629"/>
      <c r="Z552" s="635"/>
      <c r="AA552" s="592"/>
    </row>
    <row r="553" spans="1:27" ht="12" customHeight="1">
      <c r="A553" s="423">
        <v>2.65</v>
      </c>
      <c r="B553" s="629">
        <v>0.1973</v>
      </c>
      <c r="D553" s="423"/>
      <c r="E553" s="511"/>
      <c r="F553" s="129"/>
      <c r="G553" s="624"/>
      <c r="H553" s="625"/>
      <c r="L553" s="628"/>
      <c r="M553" s="629"/>
      <c r="N553" s="629"/>
      <c r="Z553" s="635"/>
      <c r="AA553" s="592"/>
    </row>
    <row r="554" spans="1:27" ht="12" customHeight="1">
      <c r="A554" s="423">
        <v>2.66</v>
      </c>
      <c r="B554" s="629">
        <v>0.1971</v>
      </c>
      <c r="D554" s="423"/>
      <c r="E554" s="511"/>
      <c r="F554" s="129"/>
      <c r="G554" s="624"/>
      <c r="H554" s="625"/>
      <c r="L554" s="628"/>
      <c r="M554" s="629"/>
      <c r="N554" s="629"/>
      <c r="Z554" s="635"/>
      <c r="AA554" s="592"/>
    </row>
    <row r="555" spans="1:27" ht="12" customHeight="1">
      <c r="A555" s="423">
        <v>2.67</v>
      </c>
      <c r="B555" s="629">
        <v>0.19700000000000001</v>
      </c>
      <c r="D555" s="423"/>
      <c r="E555" s="511"/>
      <c r="F555" s="129"/>
      <c r="G555" s="624"/>
      <c r="H555" s="625"/>
      <c r="L555" s="628"/>
      <c r="M555" s="629"/>
      <c r="N555" s="629"/>
      <c r="Z555" s="635"/>
      <c r="AA555" s="592"/>
    </row>
    <row r="556" spans="1:27" ht="12" customHeight="1">
      <c r="A556" s="423">
        <v>2.68</v>
      </c>
      <c r="B556" s="629">
        <v>0.1968</v>
      </c>
      <c r="D556" s="423"/>
      <c r="E556" s="511"/>
      <c r="F556" s="129"/>
      <c r="G556" s="624"/>
      <c r="H556" s="625"/>
      <c r="L556" s="628"/>
      <c r="M556" s="629"/>
      <c r="N556" s="629"/>
      <c r="Z556" s="635"/>
      <c r="AA556" s="592"/>
    </row>
    <row r="557" spans="1:27" ht="12" customHeight="1">
      <c r="A557" s="423">
        <v>2.69</v>
      </c>
      <c r="B557" s="629">
        <v>0.19670000000000001</v>
      </c>
      <c r="D557" s="423"/>
      <c r="E557" s="511"/>
      <c r="F557" s="129"/>
      <c r="G557" s="624"/>
      <c r="H557" s="625"/>
      <c r="L557" s="628"/>
      <c r="M557" s="629"/>
      <c r="N557" s="629"/>
      <c r="Z557" s="635"/>
      <c r="AA557" s="592"/>
    </row>
    <row r="558" spans="1:27" ht="12" customHeight="1">
      <c r="A558" s="423">
        <v>2.7</v>
      </c>
      <c r="B558" s="629">
        <v>0.19650000000000001</v>
      </c>
      <c r="D558" s="423"/>
      <c r="E558" s="511"/>
      <c r="F558" s="129"/>
      <c r="G558" s="624"/>
      <c r="H558" s="625"/>
      <c r="L558" s="628"/>
      <c r="M558" s="629"/>
      <c r="N558" s="629"/>
      <c r="Z558" s="635"/>
      <c r="AA558" s="592"/>
    </row>
    <row r="559" spans="1:27" ht="12" customHeight="1">
      <c r="A559" s="423">
        <v>2.71</v>
      </c>
      <c r="B559" s="629">
        <v>0.1963</v>
      </c>
      <c r="D559" s="423"/>
      <c r="E559" s="511"/>
      <c r="F559" s="129"/>
      <c r="G559" s="624"/>
      <c r="H559" s="625"/>
      <c r="L559" s="628"/>
      <c r="M559" s="629"/>
      <c r="N559" s="629"/>
      <c r="Z559" s="635"/>
      <c r="AA559" s="592"/>
    </row>
    <row r="560" spans="1:27" ht="12" customHeight="1">
      <c r="A560" s="423">
        <v>2.72</v>
      </c>
      <c r="B560" s="629">
        <v>0.19620000000000001</v>
      </c>
      <c r="D560" s="423"/>
      <c r="E560" s="511"/>
      <c r="F560" s="129"/>
      <c r="G560" s="624"/>
      <c r="H560" s="625"/>
      <c r="L560" s="628"/>
      <c r="M560" s="629"/>
      <c r="N560" s="629"/>
      <c r="Z560" s="635"/>
      <c r="AA560" s="592"/>
    </row>
    <row r="561" spans="1:27" ht="12" customHeight="1">
      <c r="A561" s="423">
        <v>2.73</v>
      </c>
      <c r="B561" s="629">
        <v>0.19600000000000001</v>
      </c>
      <c r="D561" s="423"/>
      <c r="E561" s="511"/>
      <c r="F561" s="129"/>
      <c r="G561" s="624"/>
      <c r="H561" s="625"/>
      <c r="L561" s="628"/>
      <c r="M561" s="629"/>
      <c r="N561" s="629"/>
      <c r="Z561" s="635"/>
      <c r="AA561" s="592"/>
    </row>
    <row r="562" spans="1:27" ht="12" customHeight="1">
      <c r="A562" s="423">
        <v>2.74</v>
      </c>
      <c r="B562" s="629">
        <v>0.19589999999999999</v>
      </c>
      <c r="D562" s="423"/>
      <c r="E562" s="511"/>
      <c r="F562" s="129"/>
      <c r="G562" s="624"/>
      <c r="H562" s="625"/>
      <c r="L562" s="628"/>
      <c r="M562" s="629"/>
      <c r="N562" s="629"/>
      <c r="Z562" s="635"/>
      <c r="AA562" s="592"/>
    </row>
    <row r="563" spans="1:27" ht="12" customHeight="1">
      <c r="A563" s="423">
        <v>2.75</v>
      </c>
      <c r="B563" s="629">
        <v>0.19570000000000001</v>
      </c>
      <c r="D563" s="423"/>
      <c r="E563" s="511"/>
      <c r="F563" s="129"/>
      <c r="G563" s="624"/>
      <c r="H563" s="625"/>
      <c r="L563" s="628"/>
      <c r="M563" s="629"/>
      <c r="N563" s="629"/>
      <c r="Z563" s="635"/>
      <c r="AA563" s="592"/>
    </row>
    <row r="564" spans="1:27" ht="12" customHeight="1">
      <c r="A564" s="423">
        <v>2.76</v>
      </c>
      <c r="B564" s="629">
        <v>0.1956</v>
      </c>
      <c r="D564" s="423"/>
      <c r="E564" s="511"/>
      <c r="F564" s="129"/>
      <c r="G564" s="624"/>
      <c r="H564" s="625"/>
      <c r="L564" s="628"/>
      <c r="M564" s="629"/>
      <c r="N564" s="629"/>
      <c r="Z564" s="635"/>
      <c r="AA564" s="592"/>
    </row>
    <row r="565" spans="1:27" ht="12" customHeight="1">
      <c r="A565" s="423">
        <v>2.77</v>
      </c>
      <c r="B565" s="629">
        <v>0.19539999999999999</v>
      </c>
      <c r="D565" s="423"/>
      <c r="E565" s="511"/>
      <c r="F565" s="129"/>
      <c r="G565" s="624"/>
      <c r="H565" s="625"/>
      <c r="L565" s="628"/>
      <c r="M565" s="629"/>
      <c r="N565" s="629"/>
      <c r="Z565" s="635"/>
      <c r="AA565" s="592"/>
    </row>
    <row r="566" spans="1:27" ht="12" customHeight="1">
      <c r="A566" s="423">
        <v>2.78</v>
      </c>
      <c r="B566" s="629">
        <v>0.19520000000000001</v>
      </c>
      <c r="D566" s="423"/>
      <c r="E566" s="511"/>
      <c r="F566" s="129"/>
      <c r="G566" s="624"/>
      <c r="H566" s="625"/>
      <c r="L566" s="628"/>
      <c r="M566" s="629"/>
      <c r="N566" s="629"/>
      <c r="Z566" s="635"/>
      <c r="AA566" s="592"/>
    </row>
    <row r="567" spans="1:27" ht="12" customHeight="1">
      <c r="A567" s="423">
        <v>2.79</v>
      </c>
      <c r="B567" s="629">
        <v>0.1951</v>
      </c>
      <c r="D567" s="423"/>
      <c r="E567" s="511"/>
      <c r="F567" s="129"/>
      <c r="G567" s="624"/>
      <c r="H567" s="625"/>
      <c r="L567" s="628"/>
      <c r="M567" s="629"/>
      <c r="N567" s="629"/>
      <c r="Z567" s="635"/>
      <c r="AA567" s="592"/>
    </row>
    <row r="568" spans="1:27" ht="12" customHeight="1">
      <c r="A568" s="423">
        <v>2.8</v>
      </c>
      <c r="B568" s="629">
        <v>0.19489999999999999</v>
      </c>
      <c r="D568" s="423"/>
      <c r="E568" s="511"/>
      <c r="F568" s="129"/>
      <c r="G568" s="624"/>
      <c r="H568" s="625"/>
      <c r="L568" s="628"/>
      <c r="M568" s="629"/>
      <c r="N568" s="629"/>
      <c r="Z568" s="635"/>
      <c r="AA568" s="592"/>
    </row>
    <row r="569" spans="1:27" ht="12" customHeight="1">
      <c r="A569" s="423">
        <v>2.81</v>
      </c>
      <c r="B569" s="629">
        <v>0.1948</v>
      </c>
      <c r="D569" s="423"/>
      <c r="E569" s="511"/>
      <c r="F569" s="129"/>
      <c r="G569" s="624"/>
      <c r="H569" s="625"/>
      <c r="L569" s="628"/>
      <c r="M569" s="629"/>
      <c r="N569" s="629"/>
      <c r="Z569" s="635"/>
      <c r="AA569" s="592"/>
    </row>
    <row r="570" spans="1:27" ht="12" customHeight="1">
      <c r="A570" s="423">
        <v>2.82</v>
      </c>
      <c r="B570" s="629">
        <v>0.1946</v>
      </c>
      <c r="D570" s="423"/>
      <c r="E570" s="511"/>
      <c r="F570" s="129"/>
      <c r="G570" s="624"/>
      <c r="H570" s="625"/>
      <c r="L570" s="628"/>
      <c r="M570" s="629"/>
      <c r="N570" s="629"/>
      <c r="Z570" s="635"/>
      <c r="AA570" s="592"/>
    </row>
    <row r="571" spans="1:27" ht="12" customHeight="1">
      <c r="A571" s="423">
        <v>2.83</v>
      </c>
      <c r="B571" s="629">
        <v>0.19450000000000001</v>
      </c>
      <c r="D571" s="423"/>
      <c r="E571" s="511"/>
      <c r="F571" s="129"/>
      <c r="G571" s="624"/>
      <c r="H571" s="625"/>
      <c r="L571" s="628"/>
      <c r="M571" s="629"/>
      <c r="N571" s="629"/>
      <c r="Z571" s="635"/>
      <c r="AA571" s="592"/>
    </row>
    <row r="572" spans="1:27" ht="12" customHeight="1">
      <c r="A572" s="423">
        <v>2.84</v>
      </c>
      <c r="B572" s="629">
        <v>0.1943</v>
      </c>
      <c r="D572" s="423"/>
      <c r="E572" s="511"/>
      <c r="F572" s="129"/>
      <c r="G572" s="624"/>
      <c r="H572" s="625"/>
      <c r="L572" s="628"/>
      <c r="M572" s="629"/>
      <c r="N572" s="629"/>
      <c r="Z572" s="635"/>
      <c r="AA572" s="592"/>
    </row>
    <row r="573" spans="1:27" ht="12" customHeight="1">
      <c r="A573" s="423">
        <v>2.85</v>
      </c>
      <c r="B573" s="629">
        <v>0.19420000000000001</v>
      </c>
      <c r="D573" s="423"/>
      <c r="E573" s="511"/>
      <c r="F573" s="129"/>
      <c r="G573" s="624"/>
      <c r="H573" s="625"/>
      <c r="L573" s="628"/>
      <c r="M573" s="629"/>
      <c r="N573" s="629"/>
      <c r="Z573" s="635"/>
      <c r="AA573" s="592"/>
    </row>
    <row r="574" spans="1:27" ht="12" customHeight="1">
      <c r="A574" s="423">
        <v>2.86</v>
      </c>
      <c r="B574" s="629">
        <v>0.19400000000000001</v>
      </c>
      <c r="D574" s="423"/>
      <c r="E574" s="511"/>
      <c r="F574" s="129"/>
      <c r="G574" s="624"/>
      <c r="H574" s="625"/>
      <c r="L574" s="628"/>
      <c r="M574" s="629"/>
      <c r="N574" s="629"/>
      <c r="Z574" s="635"/>
      <c r="AA574" s="592"/>
    </row>
    <row r="575" spans="1:27" ht="12" customHeight="1">
      <c r="A575" s="423">
        <v>2.87</v>
      </c>
      <c r="B575" s="629">
        <v>0.19389999999999999</v>
      </c>
      <c r="D575" s="423"/>
      <c r="E575" s="511"/>
      <c r="F575" s="129"/>
      <c r="G575" s="624"/>
      <c r="H575" s="625"/>
      <c r="L575" s="628"/>
      <c r="M575" s="629"/>
      <c r="N575" s="629"/>
      <c r="Z575" s="635"/>
      <c r="AA575" s="592"/>
    </row>
    <row r="576" spans="1:27" ht="12" customHeight="1">
      <c r="A576" s="423">
        <v>2.88</v>
      </c>
      <c r="B576" s="629">
        <v>0.19370000000000001</v>
      </c>
      <c r="D576" s="423"/>
      <c r="E576" s="511"/>
      <c r="F576" s="129"/>
      <c r="G576" s="624"/>
      <c r="H576" s="625"/>
      <c r="L576" s="628"/>
      <c r="M576" s="629"/>
      <c r="N576" s="629"/>
      <c r="Z576" s="635"/>
      <c r="AA576" s="592"/>
    </row>
    <row r="577" spans="1:27" ht="12" customHeight="1">
      <c r="A577" s="423">
        <v>2.89</v>
      </c>
      <c r="B577" s="629">
        <v>0.19359999999999999</v>
      </c>
      <c r="D577" s="423"/>
      <c r="E577" s="511"/>
      <c r="F577" s="129"/>
      <c r="G577" s="624"/>
      <c r="H577" s="625"/>
      <c r="L577" s="628"/>
      <c r="M577" s="629"/>
      <c r="N577" s="629"/>
      <c r="Z577" s="635"/>
      <c r="AA577" s="592"/>
    </row>
    <row r="578" spans="1:27" ht="12" customHeight="1">
      <c r="A578" s="423">
        <v>2.9</v>
      </c>
      <c r="B578" s="629">
        <v>0.19339999999999999</v>
      </c>
      <c r="D578" s="423"/>
      <c r="E578" s="511"/>
      <c r="F578" s="129"/>
      <c r="G578" s="557"/>
      <c r="H578" s="559"/>
      <c r="L578" s="557"/>
      <c r="M578" s="558"/>
      <c r="N578" s="558"/>
      <c r="Z578" s="557"/>
      <c r="AA578" s="128"/>
    </row>
    <row r="579" spans="1:27" ht="12" customHeight="1">
      <c r="A579" s="423">
        <v>2.91</v>
      </c>
      <c r="B579" s="629">
        <v>0.1933</v>
      </c>
      <c r="D579" s="423"/>
      <c r="E579" s="511"/>
      <c r="F579" s="129"/>
      <c r="G579" s="557"/>
      <c r="H579" s="559"/>
      <c r="L579" s="557"/>
      <c r="M579" s="558"/>
      <c r="N579" s="558"/>
      <c r="Z579" s="557"/>
      <c r="AA579" s="128"/>
    </row>
    <row r="580" spans="1:27" ht="12" customHeight="1">
      <c r="A580" s="423">
        <v>2.92</v>
      </c>
      <c r="B580" s="629">
        <v>0.19320000000000001</v>
      </c>
      <c r="D580" s="423"/>
      <c r="E580" s="511"/>
      <c r="F580" s="129"/>
      <c r="L580" s="557"/>
      <c r="M580" s="558"/>
      <c r="N580" s="558"/>
      <c r="Z580" s="557"/>
      <c r="AA580" s="128"/>
    </row>
    <row r="581" spans="1:27" ht="12" customHeight="1">
      <c r="A581" s="423">
        <v>2.93</v>
      </c>
      <c r="B581" s="629">
        <v>0.193</v>
      </c>
      <c r="D581" s="423"/>
      <c r="E581" s="511"/>
      <c r="F581" s="129"/>
    </row>
    <row r="582" spans="1:27" ht="12" customHeight="1">
      <c r="A582" s="423">
        <v>2.94</v>
      </c>
      <c r="B582" s="629">
        <v>0.19289999999999999</v>
      </c>
      <c r="D582" s="423"/>
      <c r="E582" s="511"/>
      <c r="F582" s="129"/>
    </row>
    <row r="583" spans="1:27" ht="12" customHeight="1">
      <c r="A583" s="423">
        <v>2.95</v>
      </c>
      <c r="B583" s="629">
        <v>0.19270000000000001</v>
      </c>
      <c r="D583" s="423"/>
      <c r="E583" s="511"/>
      <c r="F583" s="129"/>
    </row>
    <row r="584" spans="1:27" ht="12" customHeight="1">
      <c r="A584" s="423">
        <v>2.96</v>
      </c>
      <c r="B584" s="629">
        <v>0.19259999999999999</v>
      </c>
      <c r="D584" s="423"/>
      <c r="E584" s="511"/>
      <c r="F584" s="129"/>
    </row>
    <row r="585" spans="1:27" ht="12" customHeight="1">
      <c r="A585" s="423">
        <v>2.97</v>
      </c>
      <c r="B585" s="629">
        <v>0.19239999999999999</v>
      </c>
      <c r="D585" s="423"/>
      <c r="E585" s="511"/>
      <c r="F585" s="129"/>
    </row>
    <row r="586" spans="1:27" ht="12" customHeight="1">
      <c r="A586" s="423">
        <v>2.98</v>
      </c>
      <c r="B586" s="629">
        <v>0.1923</v>
      </c>
      <c r="D586" s="157"/>
      <c r="E586" s="158"/>
      <c r="F586" s="129"/>
    </row>
    <row r="587" spans="1:27" ht="12" customHeight="1">
      <c r="A587" s="423">
        <v>2.99</v>
      </c>
      <c r="B587" s="629">
        <v>0.19220000000000001</v>
      </c>
      <c r="D587" s="157"/>
      <c r="E587" s="158"/>
      <c r="F587" s="129"/>
    </row>
    <row r="588" spans="1:27" ht="12" customHeight="1">
      <c r="A588" s="423">
        <v>3</v>
      </c>
      <c r="B588" s="629">
        <v>0.192</v>
      </c>
      <c r="D588" s="157"/>
      <c r="E588" s="158"/>
      <c r="F588" s="129"/>
    </row>
    <row r="589" spans="1:27" ht="12" customHeight="1">
      <c r="A589" s="423">
        <v>3.01</v>
      </c>
      <c r="B589" s="629">
        <v>0.19189999999999999</v>
      </c>
      <c r="D589" s="157"/>
      <c r="E589" s="158"/>
      <c r="F589" s="129"/>
    </row>
    <row r="590" spans="1:27" ht="12" customHeight="1">
      <c r="A590" s="423">
        <v>3.02</v>
      </c>
      <c r="B590" s="629">
        <v>0.19170000000000001</v>
      </c>
      <c r="D590" s="157"/>
      <c r="E590" s="158"/>
      <c r="F590" s="129"/>
    </row>
    <row r="591" spans="1:27" ht="12" customHeight="1">
      <c r="A591" s="423">
        <v>3.03</v>
      </c>
      <c r="B591" s="629">
        <v>0.19159999999999999</v>
      </c>
      <c r="D591" s="157"/>
      <c r="E591" s="158"/>
      <c r="F591" s="129"/>
    </row>
    <row r="592" spans="1:27" ht="12" customHeight="1">
      <c r="A592" s="423">
        <v>3.04</v>
      </c>
      <c r="B592" s="629">
        <v>0.1915</v>
      </c>
      <c r="D592" s="157"/>
      <c r="E592" s="158"/>
      <c r="F592" s="129"/>
    </row>
    <row r="593" spans="1:6" ht="12" customHeight="1">
      <c r="A593" s="423">
        <v>3.05</v>
      </c>
      <c r="B593" s="629">
        <v>0.1913</v>
      </c>
      <c r="D593" s="157"/>
      <c r="E593" s="158"/>
      <c r="F593" s="129"/>
    </row>
    <row r="594" spans="1:6" ht="12" customHeight="1">
      <c r="A594" s="423">
        <v>3.06</v>
      </c>
      <c r="B594" s="629">
        <v>0.19120000000000001</v>
      </c>
      <c r="D594" s="157"/>
      <c r="E594" s="158"/>
      <c r="F594" s="129"/>
    </row>
    <row r="595" spans="1:6" ht="12" customHeight="1">
      <c r="A595" s="423">
        <v>3.07</v>
      </c>
      <c r="B595" s="629">
        <v>0.191</v>
      </c>
      <c r="D595" s="157"/>
      <c r="E595" s="158"/>
      <c r="F595" s="129"/>
    </row>
    <row r="596" spans="1:6" ht="12" customHeight="1">
      <c r="A596" s="423">
        <v>3.08</v>
      </c>
      <c r="B596" s="629">
        <v>0.19089999999999999</v>
      </c>
      <c r="D596" s="157"/>
      <c r="E596" s="158"/>
      <c r="F596" s="129"/>
    </row>
    <row r="597" spans="1:6" ht="12" customHeight="1">
      <c r="A597" s="423">
        <v>3.09</v>
      </c>
      <c r="B597" s="629">
        <v>0.1908</v>
      </c>
      <c r="D597" s="157"/>
      <c r="E597" s="158"/>
      <c r="F597" s="129"/>
    </row>
    <row r="598" spans="1:6" ht="12" customHeight="1">
      <c r="A598" s="423">
        <v>3.1</v>
      </c>
      <c r="B598" s="629">
        <v>0.19059999999999999</v>
      </c>
      <c r="D598" s="157"/>
      <c r="E598" s="158"/>
      <c r="F598" s="129"/>
    </row>
    <row r="599" spans="1:6" ht="12" customHeight="1">
      <c r="A599" s="423">
        <v>3.11</v>
      </c>
      <c r="B599" s="629">
        <v>0.1905</v>
      </c>
      <c r="D599" s="157"/>
      <c r="E599" s="158"/>
      <c r="F599" s="129"/>
    </row>
    <row r="600" spans="1:6" ht="12" customHeight="1">
      <c r="A600" s="423">
        <v>3.12</v>
      </c>
      <c r="B600" s="629">
        <v>0.19040000000000001</v>
      </c>
      <c r="D600" s="157"/>
      <c r="E600" s="158"/>
      <c r="F600" s="129"/>
    </row>
    <row r="601" spans="1:6" ht="12" customHeight="1">
      <c r="A601" s="423">
        <v>3.13</v>
      </c>
      <c r="B601" s="629">
        <v>0.19020000000000001</v>
      </c>
      <c r="D601" s="157"/>
      <c r="E601" s="158"/>
      <c r="F601" s="129"/>
    </row>
    <row r="602" spans="1:6" ht="12" customHeight="1">
      <c r="A602" s="423">
        <v>3.14</v>
      </c>
      <c r="B602" s="629">
        <v>0.19009999999999999</v>
      </c>
      <c r="D602" s="157"/>
      <c r="E602" s="158"/>
      <c r="F602" s="129"/>
    </row>
    <row r="603" spans="1:6" ht="12" customHeight="1">
      <c r="A603" s="423">
        <v>3.15</v>
      </c>
      <c r="B603" s="629">
        <v>0.19</v>
      </c>
      <c r="D603" s="157"/>
      <c r="E603" s="158"/>
      <c r="F603" s="129"/>
    </row>
    <row r="604" spans="1:6" ht="12" customHeight="1">
      <c r="A604" s="423">
        <v>3.16</v>
      </c>
      <c r="B604" s="629">
        <v>0.1898</v>
      </c>
      <c r="D604" s="157"/>
      <c r="E604" s="158"/>
      <c r="F604" s="129"/>
    </row>
    <row r="605" spans="1:6" ht="12" customHeight="1">
      <c r="A605" s="423">
        <v>3.17</v>
      </c>
      <c r="B605" s="629">
        <v>0.18970000000000001</v>
      </c>
      <c r="D605" s="157"/>
      <c r="E605" s="158"/>
      <c r="F605" s="129"/>
    </row>
    <row r="606" spans="1:6" ht="12" customHeight="1">
      <c r="A606" s="423">
        <v>3.18</v>
      </c>
      <c r="B606" s="629">
        <v>0.18959999999999999</v>
      </c>
      <c r="D606" s="157"/>
      <c r="E606" s="158"/>
      <c r="F606" s="129"/>
    </row>
    <row r="607" spans="1:6" ht="12" customHeight="1">
      <c r="A607" s="423">
        <v>3.19</v>
      </c>
      <c r="B607" s="629">
        <v>0.1895</v>
      </c>
      <c r="D607" s="157"/>
      <c r="E607" s="158"/>
      <c r="F607" s="129"/>
    </row>
    <row r="608" spans="1:6" ht="12" customHeight="1">
      <c r="A608" s="423">
        <v>3.2</v>
      </c>
      <c r="B608" s="629">
        <v>0.1893</v>
      </c>
      <c r="D608" s="157"/>
      <c r="E608" s="158"/>
      <c r="F608" s="129"/>
    </row>
    <row r="609" spans="1:6" ht="12" customHeight="1">
      <c r="A609" s="423">
        <v>3.21</v>
      </c>
      <c r="B609" s="629">
        <v>0.18920000000000001</v>
      </c>
      <c r="D609" s="157"/>
      <c r="E609" s="158"/>
      <c r="F609" s="129"/>
    </row>
    <row r="610" spans="1:6" ht="12" customHeight="1">
      <c r="A610" s="423">
        <v>3.22</v>
      </c>
      <c r="B610" s="629">
        <v>0.18909999999999999</v>
      </c>
      <c r="D610" s="157"/>
      <c r="E610" s="158"/>
      <c r="F610" s="129"/>
    </row>
    <row r="611" spans="1:6" ht="12" customHeight="1">
      <c r="A611" s="423">
        <v>3.23</v>
      </c>
      <c r="B611" s="629">
        <v>0.18890000000000001</v>
      </c>
      <c r="D611" s="157"/>
      <c r="E611" s="158"/>
      <c r="F611" s="129"/>
    </row>
    <row r="612" spans="1:6" ht="12" customHeight="1">
      <c r="A612" s="423">
        <v>3.24</v>
      </c>
      <c r="B612" s="629">
        <v>0.1888</v>
      </c>
      <c r="D612" s="157"/>
      <c r="E612" s="158"/>
      <c r="F612" s="129"/>
    </row>
    <row r="613" spans="1:6" ht="12" customHeight="1">
      <c r="A613" s="423">
        <v>3.25</v>
      </c>
      <c r="B613" s="629">
        <v>0.18870000000000001</v>
      </c>
      <c r="D613" s="157"/>
      <c r="E613" s="158"/>
      <c r="F613" s="129"/>
    </row>
    <row r="614" spans="1:6" ht="12" customHeight="1">
      <c r="A614" s="423">
        <v>3.26</v>
      </c>
      <c r="B614" s="629">
        <v>0.18859999999999999</v>
      </c>
      <c r="D614" s="157"/>
      <c r="E614" s="158"/>
      <c r="F614" s="129"/>
    </row>
    <row r="615" spans="1:6" ht="12" customHeight="1">
      <c r="A615" s="423">
        <v>3.27</v>
      </c>
      <c r="B615" s="629">
        <v>0.18840000000000001</v>
      </c>
      <c r="D615" s="157"/>
      <c r="E615" s="158"/>
      <c r="F615" s="129"/>
    </row>
    <row r="616" spans="1:6" ht="12" customHeight="1">
      <c r="A616" s="423">
        <v>3.28</v>
      </c>
      <c r="B616" s="629">
        <v>0.1883</v>
      </c>
      <c r="D616" s="157"/>
      <c r="E616" s="158"/>
      <c r="F616" s="129"/>
    </row>
    <row r="617" spans="1:6" ht="12" customHeight="1">
      <c r="A617" s="423">
        <v>3.29</v>
      </c>
      <c r="B617" s="629">
        <v>0.18820000000000001</v>
      </c>
      <c r="D617" s="157"/>
      <c r="E617" s="158"/>
      <c r="F617" s="129"/>
    </row>
    <row r="618" spans="1:6" ht="12" customHeight="1">
      <c r="A618" s="423">
        <v>3.3</v>
      </c>
      <c r="B618" s="629">
        <v>0.18809999999999999</v>
      </c>
      <c r="D618" s="157"/>
      <c r="E618" s="158"/>
      <c r="F618" s="129"/>
    </row>
    <row r="619" spans="1:6" ht="12" customHeight="1">
      <c r="A619" s="423">
        <v>3.31</v>
      </c>
      <c r="B619" s="629">
        <v>0.18790000000000001</v>
      </c>
      <c r="D619" s="157"/>
      <c r="E619" s="158"/>
      <c r="F619" s="129"/>
    </row>
    <row r="620" spans="1:6" ht="12" customHeight="1">
      <c r="A620" s="423">
        <v>3.32</v>
      </c>
      <c r="B620" s="629">
        <v>0.18779999999999999</v>
      </c>
      <c r="D620" s="157"/>
      <c r="E620" s="158"/>
      <c r="F620" s="129"/>
    </row>
    <row r="621" spans="1:6" ht="12" customHeight="1">
      <c r="A621" s="423">
        <v>3.33</v>
      </c>
      <c r="B621" s="629">
        <v>0.18770000000000001</v>
      </c>
      <c r="D621" s="157"/>
      <c r="E621" s="158"/>
      <c r="F621" s="129"/>
    </row>
    <row r="622" spans="1:6" ht="12" customHeight="1">
      <c r="A622" s="423">
        <v>3.34</v>
      </c>
      <c r="B622" s="629">
        <v>0.18759999999999999</v>
      </c>
      <c r="D622" s="157"/>
      <c r="E622" s="158"/>
      <c r="F622" s="129"/>
    </row>
    <row r="623" spans="1:6" ht="12" customHeight="1">
      <c r="A623" s="423">
        <v>3.35</v>
      </c>
      <c r="B623" s="629">
        <v>0.18740000000000001</v>
      </c>
      <c r="D623" s="157"/>
      <c r="E623" s="158"/>
      <c r="F623" s="129"/>
    </row>
    <row r="624" spans="1:6" ht="12" customHeight="1">
      <c r="A624" s="423">
        <v>3.36</v>
      </c>
      <c r="B624" s="629">
        <v>0.18729999999999999</v>
      </c>
      <c r="D624" s="157"/>
      <c r="E624" s="158"/>
      <c r="F624" s="129"/>
    </row>
    <row r="625" spans="1:6" ht="12" customHeight="1">
      <c r="A625" s="423">
        <v>3.37</v>
      </c>
      <c r="B625" s="629">
        <v>0.18720000000000001</v>
      </c>
      <c r="D625" s="157"/>
      <c r="E625" s="158"/>
      <c r="F625" s="129"/>
    </row>
    <row r="626" spans="1:6" ht="12" customHeight="1">
      <c r="A626" s="423">
        <v>3.38</v>
      </c>
      <c r="B626" s="629">
        <v>0.18709999999999999</v>
      </c>
      <c r="D626" s="157"/>
      <c r="E626" s="158"/>
      <c r="F626" s="129"/>
    </row>
    <row r="627" spans="1:6" ht="12" customHeight="1">
      <c r="A627" s="423">
        <v>3.39</v>
      </c>
      <c r="B627" s="629">
        <v>0.18690000000000001</v>
      </c>
      <c r="D627" s="157"/>
      <c r="E627" s="158"/>
      <c r="F627" s="129"/>
    </row>
    <row r="628" spans="1:6" ht="12" customHeight="1">
      <c r="A628" s="423">
        <v>3.4</v>
      </c>
      <c r="B628" s="629">
        <v>0.18679999999999999</v>
      </c>
      <c r="D628" s="157"/>
      <c r="E628" s="158"/>
      <c r="F628" s="129"/>
    </row>
    <row r="629" spans="1:6" ht="12" customHeight="1">
      <c r="A629" s="423">
        <v>3.41</v>
      </c>
      <c r="B629" s="629">
        <v>0.1867</v>
      </c>
      <c r="D629" s="157"/>
      <c r="E629" s="158"/>
      <c r="F629" s="129"/>
    </row>
    <row r="630" spans="1:6" ht="12" customHeight="1">
      <c r="A630" s="423">
        <v>3.42</v>
      </c>
      <c r="B630" s="629">
        <v>0.18659999999999999</v>
      </c>
      <c r="D630" s="157"/>
      <c r="E630" s="158"/>
      <c r="F630" s="129"/>
    </row>
    <row r="631" spans="1:6" ht="12" customHeight="1">
      <c r="A631" s="423">
        <v>3.43</v>
      </c>
      <c r="B631" s="629">
        <v>0.1865</v>
      </c>
      <c r="D631" s="157"/>
      <c r="E631" s="158"/>
      <c r="F631" s="129"/>
    </row>
    <row r="632" spans="1:6" ht="12" customHeight="1">
      <c r="A632" s="423">
        <v>3.44</v>
      </c>
      <c r="B632" s="629">
        <v>0.18629999999999999</v>
      </c>
      <c r="D632" s="157"/>
      <c r="E632" s="158"/>
      <c r="F632" s="129"/>
    </row>
    <row r="633" spans="1:6" ht="12" customHeight="1">
      <c r="A633" s="423">
        <v>3.45</v>
      </c>
      <c r="B633" s="629">
        <v>0.1862</v>
      </c>
      <c r="D633" s="157"/>
      <c r="E633" s="158"/>
      <c r="F633" s="129"/>
    </row>
    <row r="634" spans="1:6" ht="12" customHeight="1">
      <c r="A634" s="423">
        <v>3.46</v>
      </c>
      <c r="B634" s="629">
        <v>0.18609999999999999</v>
      </c>
      <c r="D634" s="157"/>
      <c r="E634" s="158"/>
      <c r="F634" s="129"/>
    </row>
    <row r="635" spans="1:6" ht="12" customHeight="1">
      <c r="A635" s="423">
        <v>3.47</v>
      </c>
      <c r="B635" s="629">
        <v>0.186</v>
      </c>
      <c r="D635" s="157"/>
      <c r="E635" s="158"/>
      <c r="F635" s="129"/>
    </row>
    <row r="636" spans="1:6" ht="12" customHeight="1">
      <c r="A636" s="423">
        <v>3.48</v>
      </c>
      <c r="B636" s="629">
        <v>0.18590000000000001</v>
      </c>
      <c r="D636" s="157"/>
      <c r="E636" s="158"/>
      <c r="F636" s="129"/>
    </row>
    <row r="637" spans="1:6" ht="12" customHeight="1">
      <c r="A637" s="423">
        <v>3.49</v>
      </c>
      <c r="B637" s="629">
        <v>0.18579999999999999</v>
      </c>
      <c r="D637" s="157"/>
      <c r="E637" s="158"/>
      <c r="F637" s="129"/>
    </row>
    <row r="638" spans="1:6" ht="12" customHeight="1">
      <c r="A638" s="423">
        <v>3.5</v>
      </c>
      <c r="B638" s="629">
        <v>0.18559999999999999</v>
      </c>
      <c r="D638" s="157"/>
      <c r="E638" s="158"/>
      <c r="F638" s="129"/>
    </row>
    <row r="639" spans="1:6" ht="12" customHeight="1">
      <c r="A639" s="423">
        <v>3.51</v>
      </c>
      <c r="B639" s="629">
        <v>0.1855</v>
      </c>
      <c r="D639" s="157"/>
      <c r="E639" s="158"/>
      <c r="F639" s="129"/>
    </row>
    <row r="640" spans="1:6" ht="12" customHeight="1">
      <c r="A640" s="423">
        <v>3.52</v>
      </c>
      <c r="B640" s="629">
        <v>0.18540000000000001</v>
      </c>
      <c r="D640" s="157"/>
      <c r="E640" s="158"/>
      <c r="F640" s="129"/>
    </row>
    <row r="641" spans="1:6" ht="12" customHeight="1">
      <c r="A641" s="423">
        <v>3.53</v>
      </c>
      <c r="B641" s="629">
        <v>0.18529999999999999</v>
      </c>
      <c r="D641" s="157"/>
      <c r="E641" s="158"/>
      <c r="F641" s="129"/>
    </row>
    <row r="642" spans="1:6" ht="12" customHeight="1">
      <c r="A642" s="423">
        <v>3.54</v>
      </c>
      <c r="B642" s="629">
        <v>0.1852</v>
      </c>
      <c r="D642" s="157"/>
      <c r="E642" s="158"/>
      <c r="F642" s="129"/>
    </row>
    <row r="643" spans="1:6" ht="12" customHeight="1">
      <c r="A643" s="423">
        <v>3.55</v>
      </c>
      <c r="B643" s="629">
        <v>0.18509999999999999</v>
      </c>
      <c r="D643" s="157"/>
      <c r="E643" s="158"/>
      <c r="F643" s="129"/>
    </row>
    <row r="644" spans="1:6" ht="12" customHeight="1">
      <c r="A644" s="423">
        <v>3.56</v>
      </c>
      <c r="B644" s="629">
        <v>0.185</v>
      </c>
      <c r="D644" s="157"/>
      <c r="E644" s="158"/>
      <c r="F644" s="129"/>
    </row>
    <row r="645" spans="1:6" ht="12" customHeight="1">
      <c r="A645" s="423">
        <v>3.57</v>
      </c>
      <c r="B645" s="629">
        <v>0.18479999999999999</v>
      </c>
      <c r="D645" s="157"/>
      <c r="E645" s="158"/>
      <c r="F645" s="129"/>
    </row>
    <row r="646" spans="1:6" ht="12" customHeight="1">
      <c r="A646" s="423">
        <v>3.58</v>
      </c>
      <c r="B646" s="629">
        <v>0.1847</v>
      </c>
      <c r="D646" s="157"/>
      <c r="E646" s="158"/>
      <c r="F646" s="129"/>
    </row>
    <row r="647" spans="1:6" ht="12" customHeight="1">
      <c r="A647" s="423">
        <v>3.59</v>
      </c>
      <c r="B647" s="629">
        <v>0.18459999999999999</v>
      </c>
      <c r="D647" s="157"/>
      <c r="E647" s="158"/>
      <c r="F647" s="129"/>
    </row>
    <row r="648" spans="1:6" ht="12" customHeight="1">
      <c r="A648" s="423">
        <v>3.6</v>
      </c>
      <c r="B648" s="629">
        <v>0.1845</v>
      </c>
      <c r="D648" s="157"/>
      <c r="E648" s="158"/>
      <c r="F648" s="129"/>
    </row>
    <row r="649" spans="1:6" ht="12" customHeight="1">
      <c r="A649" s="423">
        <v>3.61</v>
      </c>
      <c r="B649" s="629">
        <v>0.18440000000000001</v>
      </c>
      <c r="D649" s="157"/>
      <c r="E649" s="158"/>
      <c r="F649" s="129"/>
    </row>
    <row r="650" spans="1:6" ht="12" customHeight="1">
      <c r="A650" s="423">
        <v>3.62</v>
      </c>
      <c r="B650" s="629">
        <v>0.18429999999999999</v>
      </c>
      <c r="D650" s="157"/>
      <c r="E650" s="158"/>
      <c r="F650" s="129"/>
    </row>
    <row r="651" spans="1:6" ht="12" customHeight="1">
      <c r="A651" s="423">
        <v>3.63</v>
      </c>
      <c r="B651" s="629">
        <v>0.1842</v>
      </c>
      <c r="D651" s="157"/>
      <c r="E651" s="158"/>
      <c r="F651" s="129"/>
    </row>
    <row r="652" spans="1:6" ht="12" customHeight="1">
      <c r="A652" s="423">
        <v>3.64</v>
      </c>
      <c r="B652" s="629">
        <v>0.18410000000000001</v>
      </c>
      <c r="D652" s="157"/>
      <c r="E652" s="158"/>
      <c r="F652" s="129"/>
    </row>
    <row r="653" spans="1:6" ht="12" customHeight="1">
      <c r="A653" s="423">
        <v>3.65</v>
      </c>
      <c r="B653" s="629">
        <v>0.18390000000000001</v>
      </c>
      <c r="D653" s="157"/>
      <c r="E653" s="158"/>
      <c r="F653" s="129"/>
    </row>
    <row r="654" spans="1:6" ht="12" customHeight="1">
      <c r="A654" s="423">
        <v>3.66</v>
      </c>
      <c r="B654" s="629">
        <v>0.18379999999999999</v>
      </c>
      <c r="D654" s="157"/>
      <c r="E654" s="158"/>
      <c r="F654" s="129"/>
    </row>
    <row r="655" spans="1:6" ht="12" customHeight="1">
      <c r="A655" s="423">
        <v>3.67</v>
      </c>
      <c r="B655" s="629">
        <v>0.1837</v>
      </c>
      <c r="D655" s="157"/>
      <c r="E655" s="158"/>
      <c r="F655" s="129"/>
    </row>
    <row r="656" spans="1:6" ht="12" customHeight="1">
      <c r="A656" s="423">
        <v>3.68</v>
      </c>
      <c r="B656" s="629">
        <v>0.18360000000000001</v>
      </c>
      <c r="D656" s="157"/>
      <c r="E656" s="158"/>
      <c r="F656" s="129"/>
    </row>
    <row r="657" spans="1:6" ht="12" customHeight="1">
      <c r="A657" s="423">
        <v>3.69</v>
      </c>
      <c r="B657" s="629">
        <v>0.1835</v>
      </c>
      <c r="D657" s="157"/>
      <c r="E657" s="158"/>
      <c r="F657" s="129"/>
    </row>
    <row r="658" spans="1:6" ht="12" customHeight="1">
      <c r="A658" s="423">
        <v>3.7</v>
      </c>
      <c r="B658" s="629">
        <v>0.18340000000000001</v>
      </c>
      <c r="D658" s="157"/>
      <c r="E658" s="158"/>
      <c r="F658" s="129"/>
    </row>
    <row r="659" spans="1:6" ht="12" customHeight="1">
      <c r="A659" s="423">
        <v>3.71</v>
      </c>
      <c r="B659" s="629">
        <v>0.18329999999999999</v>
      </c>
      <c r="D659" s="157"/>
      <c r="E659" s="158"/>
      <c r="F659" s="129"/>
    </row>
    <row r="660" spans="1:6" ht="12" customHeight="1">
      <c r="A660" s="423">
        <v>3.72</v>
      </c>
      <c r="B660" s="629">
        <v>0.1832</v>
      </c>
      <c r="D660" s="157"/>
      <c r="E660" s="158"/>
      <c r="F660" s="129"/>
    </row>
    <row r="661" spans="1:6" ht="12" customHeight="1">
      <c r="A661" s="423">
        <v>3.73</v>
      </c>
      <c r="B661" s="629">
        <v>0.18310000000000001</v>
      </c>
      <c r="D661" s="157"/>
      <c r="E661" s="158"/>
      <c r="F661" s="129"/>
    </row>
    <row r="662" spans="1:6" ht="12" customHeight="1">
      <c r="A662" s="423">
        <v>3.74</v>
      </c>
      <c r="B662" s="629">
        <v>0.183</v>
      </c>
      <c r="D662" s="157"/>
      <c r="E662" s="158"/>
      <c r="F662" s="129"/>
    </row>
    <row r="663" spans="1:6" ht="12" customHeight="1">
      <c r="A663" s="423">
        <v>3.75</v>
      </c>
      <c r="B663" s="629">
        <v>0.18290000000000001</v>
      </c>
      <c r="D663" s="157"/>
      <c r="E663" s="158"/>
      <c r="F663" s="129"/>
    </row>
    <row r="664" spans="1:6" ht="12" customHeight="1">
      <c r="A664" s="423">
        <v>3.76</v>
      </c>
      <c r="B664" s="629">
        <v>0.18279999999999999</v>
      </c>
      <c r="D664" s="157"/>
      <c r="E664" s="158"/>
      <c r="F664" s="129"/>
    </row>
    <row r="665" spans="1:6" ht="12" customHeight="1">
      <c r="A665" s="423">
        <v>3.77</v>
      </c>
      <c r="B665" s="629">
        <v>0.18260000000000001</v>
      </c>
      <c r="D665" s="157"/>
      <c r="E665" s="158"/>
      <c r="F665" s="129"/>
    </row>
    <row r="666" spans="1:6" ht="12" customHeight="1">
      <c r="A666" s="423">
        <v>3.78</v>
      </c>
      <c r="B666" s="629">
        <v>0.1825</v>
      </c>
      <c r="D666" s="157"/>
      <c r="E666" s="158"/>
      <c r="F666" s="129"/>
    </row>
    <row r="667" spans="1:6" ht="12" customHeight="1">
      <c r="A667" s="423">
        <v>3.79</v>
      </c>
      <c r="B667" s="629">
        <v>0.18240000000000001</v>
      </c>
      <c r="D667" s="157"/>
      <c r="E667" s="158"/>
      <c r="F667" s="129"/>
    </row>
    <row r="668" spans="1:6" ht="12" customHeight="1">
      <c r="A668" s="423">
        <v>3.8</v>
      </c>
      <c r="B668" s="629">
        <v>0.18229999999999999</v>
      </c>
      <c r="D668" s="157"/>
      <c r="E668" s="158"/>
      <c r="F668" s="129"/>
    </row>
    <row r="669" spans="1:6" ht="12" customHeight="1">
      <c r="A669" s="423">
        <v>3.81</v>
      </c>
      <c r="B669" s="629">
        <v>0.1822</v>
      </c>
      <c r="D669" s="157"/>
      <c r="E669" s="158"/>
      <c r="F669" s="129"/>
    </row>
    <row r="670" spans="1:6" ht="12" customHeight="1">
      <c r="A670" s="423">
        <v>3.82</v>
      </c>
      <c r="B670" s="629">
        <v>0.18210000000000001</v>
      </c>
      <c r="D670" s="157"/>
      <c r="E670" s="158"/>
      <c r="F670" s="129"/>
    </row>
    <row r="671" spans="1:6" ht="12" customHeight="1">
      <c r="A671" s="423">
        <v>3.83</v>
      </c>
      <c r="B671" s="629">
        <v>0.182</v>
      </c>
      <c r="D671" s="157"/>
      <c r="E671" s="158"/>
      <c r="F671" s="129"/>
    </row>
    <row r="672" spans="1:6" ht="12" customHeight="1">
      <c r="A672" s="423">
        <v>3.84</v>
      </c>
      <c r="B672" s="629">
        <v>0.18190000000000001</v>
      </c>
      <c r="D672" s="157"/>
      <c r="E672" s="158"/>
      <c r="F672" s="129"/>
    </row>
    <row r="673" spans="1:6" ht="12" customHeight="1">
      <c r="A673" s="423">
        <v>3.85</v>
      </c>
      <c r="B673" s="629">
        <v>0.18179999999999999</v>
      </c>
      <c r="D673" s="157"/>
      <c r="E673" s="158"/>
      <c r="F673" s="129"/>
    </row>
    <row r="674" spans="1:6" ht="12" customHeight="1">
      <c r="A674" s="423">
        <v>3.86</v>
      </c>
      <c r="B674" s="629">
        <v>0.1817</v>
      </c>
      <c r="D674" s="157"/>
      <c r="E674" s="158"/>
      <c r="F674" s="129"/>
    </row>
    <row r="675" spans="1:6" ht="12" customHeight="1">
      <c r="A675" s="423">
        <v>3.87</v>
      </c>
      <c r="B675" s="629">
        <v>0.18160000000000001</v>
      </c>
      <c r="D675" s="157"/>
      <c r="E675" s="158"/>
      <c r="F675" s="129"/>
    </row>
    <row r="676" spans="1:6" ht="12" customHeight="1">
      <c r="A676" s="423">
        <v>3.88</v>
      </c>
      <c r="B676" s="629">
        <v>0.18149999999999999</v>
      </c>
      <c r="D676" s="157"/>
      <c r="E676" s="158"/>
      <c r="F676" s="129"/>
    </row>
    <row r="677" spans="1:6" ht="12" customHeight="1">
      <c r="A677" s="423">
        <v>3.89</v>
      </c>
      <c r="B677" s="629">
        <v>0.18140000000000001</v>
      </c>
      <c r="D677" s="157"/>
      <c r="E677" s="158"/>
      <c r="F677" s="129"/>
    </row>
    <row r="678" spans="1:6" ht="12" customHeight="1">
      <c r="A678" s="423">
        <v>3.9</v>
      </c>
      <c r="B678" s="629">
        <v>0.18129999999999999</v>
      </c>
      <c r="D678" s="157"/>
      <c r="E678" s="158"/>
      <c r="F678" s="129"/>
    </row>
    <row r="679" spans="1:6" ht="12" customHeight="1">
      <c r="A679" s="423">
        <v>3.91</v>
      </c>
      <c r="B679" s="629">
        <v>0.1812</v>
      </c>
      <c r="D679" s="157"/>
      <c r="E679" s="158"/>
      <c r="F679" s="129"/>
    </row>
    <row r="680" spans="1:6" ht="12" customHeight="1">
      <c r="A680" s="423">
        <v>3.92</v>
      </c>
      <c r="B680" s="629">
        <v>0.18110000000000001</v>
      </c>
      <c r="D680" s="157"/>
      <c r="E680" s="158"/>
      <c r="F680" s="129"/>
    </row>
    <row r="681" spans="1:6" ht="12" customHeight="1">
      <c r="A681" s="423">
        <v>3.93</v>
      </c>
      <c r="B681" s="629">
        <v>0.18099999999999999</v>
      </c>
      <c r="D681" s="157"/>
      <c r="E681" s="158"/>
      <c r="F681" s="129"/>
    </row>
    <row r="682" spans="1:6" ht="12" customHeight="1">
      <c r="A682" s="423">
        <v>3.94</v>
      </c>
      <c r="B682" s="629">
        <v>0.18090000000000001</v>
      </c>
      <c r="D682" s="157"/>
      <c r="E682" s="158"/>
      <c r="F682" s="129"/>
    </row>
    <row r="683" spans="1:6" ht="12" customHeight="1">
      <c r="A683" s="423">
        <v>3.95</v>
      </c>
      <c r="B683" s="629">
        <v>0.18079999999999999</v>
      </c>
      <c r="D683" s="157"/>
      <c r="E683" s="158"/>
      <c r="F683" s="129"/>
    </row>
    <row r="684" spans="1:6" ht="12" customHeight="1">
      <c r="A684" s="423">
        <v>3.96</v>
      </c>
      <c r="B684" s="629">
        <v>0.1807</v>
      </c>
      <c r="D684" s="157"/>
      <c r="E684" s="158"/>
      <c r="F684" s="129"/>
    </row>
    <row r="685" spans="1:6" ht="12" customHeight="1">
      <c r="A685" s="423">
        <v>3.97</v>
      </c>
      <c r="B685" s="629">
        <v>0.18060000000000001</v>
      </c>
      <c r="D685" s="157"/>
      <c r="E685" s="158"/>
      <c r="F685" s="129"/>
    </row>
    <row r="686" spans="1:6" ht="12" customHeight="1">
      <c r="A686" s="423">
        <v>3.98</v>
      </c>
      <c r="B686" s="629">
        <v>0.18049999999999999</v>
      </c>
      <c r="D686" s="157"/>
      <c r="E686" s="158"/>
      <c r="F686" s="129"/>
    </row>
    <row r="687" spans="1:6" ht="12" customHeight="1">
      <c r="A687" s="423">
        <v>3.99</v>
      </c>
      <c r="B687" s="629">
        <v>0.1804</v>
      </c>
      <c r="D687" s="157"/>
      <c r="E687" s="158"/>
      <c r="F687" s="129"/>
    </row>
    <row r="688" spans="1:6" ht="12" customHeight="1">
      <c r="A688" s="423">
        <v>4</v>
      </c>
      <c r="B688" s="629">
        <v>0.18029999999999999</v>
      </c>
      <c r="D688" s="157"/>
      <c r="E688" s="158"/>
      <c r="F688" s="129"/>
    </row>
    <row r="689" spans="1:6" ht="12" customHeight="1">
      <c r="A689" s="423">
        <v>4.01</v>
      </c>
      <c r="B689" s="629">
        <v>0.1802</v>
      </c>
      <c r="D689" s="157"/>
      <c r="E689" s="158"/>
      <c r="F689" s="129"/>
    </row>
    <row r="690" spans="1:6" ht="12" customHeight="1">
      <c r="A690" s="423">
        <v>4.0199999999999996</v>
      </c>
      <c r="B690" s="629">
        <v>0.18010000000000001</v>
      </c>
      <c r="D690" s="157"/>
      <c r="E690" s="158"/>
      <c r="F690" s="129"/>
    </row>
    <row r="691" spans="1:6" ht="12" customHeight="1">
      <c r="A691" s="423">
        <v>4.03</v>
      </c>
      <c r="B691" s="629">
        <v>0.18</v>
      </c>
      <c r="D691" s="157"/>
      <c r="E691" s="158"/>
      <c r="F691" s="129"/>
    </row>
    <row r="692" spans="1:6" ht="12" customHeight="1">
      <c r="A692" s="423">
        <v>4.04</v>
      </c>
      <c r="B692" s="629">
        <v>0.1799</v>
      </c>
      <c r="D692" s="157"/>
      <c r="E692" s="158"/>
      <c r="F692" s="129"/>
    </row>
    <row r="693" spans="1:6" ht="12" customHeight="1">
      <c r="A693" s="423">
        <v>4.05</v>
      </c>
      <c r="B693" s="629">
        <v>0.17979999999999999</v>
      </c>
      <c r="D693" s="157"/>
      <c r="E693" s="158"/>
      <c r="F693" s="129"/>
    </row>
    <row r="694" spans="1:6" ht="12" customHeight="1">
      <c r="A694" s="423">
        <v>4.0599999999999996</v>
      </c>
      <c r="B694" s="629">
        <v>0.1797</v>
      </c>
      <c r="D694" s="157"/>
      <c r="E694" s="158"/>
      <c r="F694" s="129"/>
    </row>
    <row r="695" spans="1:6" ht="12" customHeight="1">
      <c r="A695" s="423">
        <v>4.07</v>
      </c>
      <c r="B695" s="629">
        <v>0.17960000000000001</v>
      </c>
      <c r="D695" s="157"/>
      <c r="E695" s="158"/>
      <c r="F695" s="129"/>
    </row>
    <row r="696" spans="1:6" ht="12" customHeight="1">
      <c r="A696" s="423">
        <v>4.08</v>
      </c>
      <c r="B696" s="629">
        <v>0.17949999999999999</v>
      </c>
      <c r="D696" s="157"/>
      <c r="E696" s="158"/>
      <c r="F696" s="129"/>
    </row>
    <row r="697" spans="1:6" ht="12" customHeight="1">
      <c r="A697" s="423">
        <v>4.09</v>
      </c>
      <c r="B697" s="629">
        <v>0.1794</v>
      </c>
      <c r="D697" s="157"/>
      <c r="E697" s="158"/>
      <c r="F697" s="129"/>
    </row>
    <row r="698" spans="1:6" ht="12" customHeight="1">
      <c r="A698" s="423">
        <v>4.0999999999999996</v>
      </c>
      <c r="B698" s="629">
        <v>0.17929999999999999</v>
      </c>
      <c r="D698" s="157"/>
      <c r="E698" s="158"/>
      <c r="F698" s="129"/>
    </row>
    <row r="699" spans="1:6" ht="12" customHeight="1">
      <c r="A699" s="423">
        <v>4.1100000000000003</v>
      </c>
      <c r="B699" s="629">
        <v>0.1792</v>
      </c>
      <c r="D699" s="157"/>
      <c r="E699" s="158"/>
      <c r="F699" s="129"/>
    </row>
    <row r="700" spans="1:6" ht="12" customHeight="1">
      <c r="A700" s="423">
        <v>4.12</v>
      </c>
      <c r="B700" s="629">
        <v>0.17910000000000001</v>
      </c>
      <c r="D700" s="157"/>
      <c r="E700" s="158"/>
      <c r="F700" s="129"/>
    </row>
    <row r="701" spans="1:6" ht="12" customHeight="1">
      <c r="A701" s="423">
        <v>4.13</v>
      </c>
      <c r="B701" s="629">
        <v>0.17899999999999999</v>
      </c>
      <c r="D701" s="157"/>
      <c r="E701" s="158"/>
      <c r="F701" s="129"/>
    </row>
    <row r="702" spans="1:6" ht="12" customHeight="1">
      <c r="A702" s="423">
        <v>4.1399999999999997</v>
      </c>
      <c r="B702" s="629">
        <v>0.1789</v>
      </c>
      <c r="D702" s="157"/>
      <c r="E702" s="158"/>
      <c r="F702" s="129"/>
    </row>
    <row r="703" spans="1:6" ht="12" customHeight="1">
      <c r="A703" s="423">
        <v>4.1500000000000004</v>
      </c>
      <c r="B703" s="629">
        <v>0.17879999999999999</v>
      </c>
      <c r="D703" s="157"/>
      <c r="E703" s="158"/>
      <c r="F703" s="129"/>
    </row>
    <row r="704" spans="1:6" ht="12" customHeight="1">
      <c r="A704" s="423">
        <v>4.16</v>
      </c>
      <c r="B704" s="629">
        <v>0.1787</v>
      </c>
      <c r="D704" s="157"/>
      <c r="E704" s="158"/>
      <c r="F704" s="129"/>
    </row>
    <row r="705" spans="1:6" ht="12" customHeight="1">
      <c r="A705" s="423">
        <v>4.17</v>
      </c>
      <c r="B705" s="629">
        <v>0.1787</v>
      </c>
      <c r="D705" s="157"/>
      <c r="E705" s="158"/>
      <c r="F705" s="129"/>
    </row>
    <row r="706" spans="1:6" ht="12" customHeight="1">
      <c r="A706" s="423">
        <v>4.18</v>
      </c>
      <c r="B706" s="629">
        <v>0.17860000000000001</v>
      </c>
      <c r="D706" s="157"/>
      <c r="E706" s="158"/>
      <c r="F706" s="129"/>
    </row>
    <row r="707" spans="1:6" ht="12" customHeight="1">
      <c r="A707" s="423">
        <v>4.1900000000000004</v>
      </c>
      <c r="B707" s="629">
        <v>0.17849999999999999</v>
      </c>
      <c r="D707" s="157"/>
      <c r="E707" s="158"/>
      <c r="F707" s="129"/>
    </row>
    <row r="708" spans="1:6" ht="12" customHeight="1">
      <c r="A708" s="423">
        <v>4.2</v>
      </c>
      <c r="B708" s="629">
        <v>0.1784</v>
      </c>
      <c r="D708" s="157"/>
      <c r="E708" s="158"/>
      <c r="F708" s="129"/>
    </row>
    <row r="709" spans="1:6" ht="12" customHeight="1">
      <c r="A709" s="423">
        <v>4.21</v>
      </c>
      <c r="B709" s="629">
        <v>0.17829999999999999</v>
      </c>
      <c r="D709" s="157"/>
      <c r="E709" s="158"/>
      <c r="F709" s="129"/>
    </row>
    <row r="710" spans="1:6" ht="12" customHeight="1">
      <c r="A710" s="423">
        <v>4.22</v>
      </c>
      <c r="B710" s="629">
        <v>0.1782</v>
      </c>
      <c r="D710" s="157"/>
      <c r="E710" s="158"/>
      <c r="F710" s="129"/>
    </row>
    <row r="711" spans="1:6" ht="12" customHeight="1">
      <c r="A711" s="423">
        <v>4.2300000000000004</v>
      </c>
      <c r="B711" s="629">
        <v>0.17810000000000001</v>
      </c>
      <c r="D711" s="157"/>
      <c r="E711" s="158"/>
      <c r="F711" s="129"/>
    </row>
    <row r="712" spans="1:6" ht="12" customHeight="1">
      <c r="A712" s="423">
        <v>4.24</v>
      </c>
      <c r="B712" s="629">
        <v>0.17799999999999999</v>
      </c>
      <c r="D712" s="157"/>
      <c r="E712" s="158"/>
      <c r="F712" s="129"/>
    </row>
    <row r="713" spans="1:6" ht="12" customHeight="1">
      <c r="A713" s="423">
        <v>4.25</v>
      </c>
      <c r="B713" s="629">
        <v>0.1779</v>
      </c>
      <c r="D713" s="157"/>
      <c r="E713" s="158"/>
      <c r="F713" s="129"/>
    </row>
    <row r="714" spans="1:6" ht="12" customHeight="1">
      <c r="A714" s="423">
        <v>4.26</v>
      </c>
      <c r="B714" s="629">
        <v>0.17780000000000001</v>
      </c>
      <c r="D714" s="157"/>
      <c r="E714" s="158"/>
      <c r="F714" s="129"/>
    </row>
    <row r="715" spans="1:6" ht="12" customHeight="1">
      <c r="A715" s="423">
        <v>4.2699999999999996</v>
      </c>
      <c r="B715" s="629">
        <v>0.1777</v>
      </c>
      <c r="D715" s="157"/>
      <c r="E715" s="158"/>
      <c r="F715" s="129"/>
    </row>
    <row r="716" spans="1:6" ht="12" customHeight="1">
      <c r="A716" s="423">
        <v>4.28</v>
      </c>
      <c r="B716" s="629">
        <v>0.17760000000000001</v>
      </c>
      <c r="D716" s="157"/>
      <c r="E716" s="158"/>
      <c r="F716" s="129"/>
    </row>
    <row r="717" spans="1:6" ht="12" customHeight="1">
      <c r="A717" s="423">
        <v>4.29</v>
      </c>
      <c r="B717" s="629">
        <v>0.17749999999999999</v>
      </c>
      <c r="D717" s="157"/>
      <c r="E717" s="158"/>
      <c r="F717" s="129"/>
    </row>
    <row r="718" spans="1:6" ht="12" customHeight="1">
      <c r="A718" s="423">
        <v>4.3</v>
      </c>
      <c r="B718" s="629">
        <v>0.17749999999999999</v>
      </c>
      <c r="D718" s="157"/>
      <c r="E718" s="158"/>
      <c r="F718" s="129"/>
    </row>
    <row r="719" spans="1:6" ht="12" customHeight="1">
      <c r="A719" s="423">
        <v>4.3099999999999996</v>
      </c>
      <c r="B719" s="629">
        <v>0.1774</v>
      </c>
      <c r="D719" s="157"/>
      <c r="E719" s="158"/>
      <c r="F719" s="129"/>
    </row>
    <row r="720" spans="1:6" ht="12" customHeight="1">
      <c r="A720" s="423">
        <v>4.32</v>
      </c>
      <c r="B720" s="629">
        <v>0.17730000000000001</v>
      </c>
      <c r="D720" s="157"/>
      <c r="E720" s="158"/>
      <c r="F720" s="129"/>
    </row>
    <row r="721" spans="1:6" ht="12" customHeight="1">
      <c r="A721" s="423">
        <v>4.33</v>
      </c>
      <c r="B721" s="629">
        <v>0.1772</v>
      </c>
      <c r="D721" s="157"/>
      <c r="E721" s="158"/>
      <c r="F721" s="129"/>
    </row>
    <row r="722" spans="1:6" ht="12" customHeight="1">
      <c r="A722" s="423">
        <v>4.34</v>
      </c>
      <c r="B722" s="629">
        <v>0.17710000000000001</v>
      </c>
      <c r="D722" s="157"/>
      <c r="E722" s="158"/>
      <c r="F722" s="129"/>
    </row>
    <row r="723" spans="1:6" ht="12" customHeight="1">
      <c r="A723" s="423">
        <v>4.3499999999999996</v>
      </c>
      <c r="B723" s="629">
        <v>0.17699999999999999</v>
      </c>
      <c r="D723" s="157"/>
      <c r="E723" s="158"/>
      <c r="F723" s="129"/>
    </row>
    <row r="724" spans="1:6" ht="12" customHeight="1">
      <c r="A724" s="423">
        <v>4.3600000000000003</v>
      </c>
      <c r="B724" s="629">
        <v>0.1769</v>
      </c>
      <c r="D724" s="157"/>
      <c r="E724" s="158"/>
      <c r="F724" s="129"/>
    </row>
    <row r="725" spans="1:6" ht="12" customHeight="1">
      <c r="A725" s="423">
        <v>4.37</v>
      </c>
      <c r="B725" s="629">
        <v>0.17680000000000001</v>
      </c>
      <c r="D725" s="157"/>
      <c r="E725" s="158"/>
      <c r="F725" s="129"/>
    </row>
    <row r="726" spans="1:6" ht="12" customHeight="1">
      <c r="A726" s="423">
        <v>4.38</v>
      </c>
      <c r="B726" s="629">
        <v>0.1767</v>
      </c>
      <c r="D726" s="157"/>
      <c r="E726" s="158"/>
      <c r="F726" s="129"/>
    </row>
    <row r="727" spans="1:6" ht="12" customHeight="1">
      <c r="A727" s="423">
        <v>4.3899999999999997</v>
      </c>
      <c r="B727" s="629">
        <v>0.1767</v>
      </c>
      <c r="D727" s="157"/>
      <c r="E727" s="158"/>
      <c r="F727" s="129"/>
    </row>
    <row r="728" spans="1:6" ht="12" customHeight="1">
      <c r="A728" s="423">
        <v>4.4000000000000004</v>
      </c>
      <c r="B728" s="629">
        <v>0.17660000000000001</v>
      </c>
      <c r="D728" s="157"/>
      <c r="E728" s="158"/>
      <c r="F728" s="129"/>
    </row>
    <row r="729" spans="1:6" ht="12" customHeight="1">
      <c r="A729" s="423">
        <v>4.41</v>
      </c>
      <c r="B729" s="629">
        <v>0.17649999999999999</v>
      </c>
      <c r="D729" s="157"/>
      <c r="E729" s="158"/>
      <c r="F729" s="129"/>
    </row>
    <row r="730" spans="1:6" ht="12" customHeight="1">
      <c r="A730" s="423">
        <v>4.42</v>
      </c>
      <c r="B730" s="629">
        <v>0.1764</v>
      </c>
      <c r="D730" s="157"/>
      <c r="E730" s="158"/>
      <c r="F730" s="129"/>
    </row>
    <row r="731" spans="1:6" ht="12" customHeight="1">
      <c r="A731" s="423">
        <v>4.43</v>
      </c>
      <c r="B731" s="629">
        <v>0.17630000000000001</v>
      </c>
      <c r="D731" s="157"/>
      <c r="E731" s="158"/>
      <c r="F731" s="129"/>
    </row>
    <row r="732" spans="1:6" ht="12" customHeight="1">
      <c r="A732" s="423">
        <v>4.4400000000000004</v>
      </c>
      <c r="B732" s="629">
        <v>0.1762</v>
      </c>
      <c r="D732" s="157"/>
      <c r="E732" s="158"/>
      <c r="F732" s="129"/>
    </row>
    <row r="733" spans="1:6" ht="12" customHeight="1">
      <c r="A733" s="423">
        <v>4.45</v>
      </c>
      <c r="B733" s="629">
        <v>0.17610000000000001</v>
      </c>
      <c r="D733" s="157"/>
      <c r="E733" s="158"/>
      <c r="F733" s="129"/>
    </row>
    <row r="734" spans="1:6" ht="12" customHeight="1">
      <c r="A734" s="423">
        <v>4.46</v>
      </c>
      <c r="B734" s="629">
        <v>0.17599999999999999</v>
      </c>
      <c r="D734" s="157"/>
      <c r="E734" s="158"/>
      <c r="F734" s="129"/>
    </row>
    <row r="735" spans="1:6" ht="12" customHeight="1">
      <c r="A735" s="423">
        <v>4.47</v>
      </c>
      <c r="B735" s="629">
        <v>0.17599999999999999</v>
      </c>
      <c r="D735" s="157"/>
      <c r="E735" s="158"/>
      <c r="F735" s="129"/>
    </row>
    <row r="736" spans="1:6" ht="12" customHeight="1">
      <c r="A736" s="423">
        <v>4.4800000000000004</v>
      </c>
      <c r="B736" s="629">
        <v>0.1759</v>
      </c>
      <c r="D736" s="157"/>
      <c r="E736" s="158"/>
      <c r="F736" s="129"/>
    </row>
    <row r="737" spans="1:6" ht="12" customHeight="1">
      <c r="A737" s="423">
        <v>4.49</v>
      </c>
      <c r="B737" s="629">
        <v>0.17580000000000001</v>
      </c>
      <c r="D737" s="157"/>
      <c r="E737" s="158"/>
      <c r="F737" s="129"/>
    </row>
    <row r="738" spans="1:6" ht="12" customHeight="1">
      <c r="A738" s="423">
        <v>4.5</v>
      </c>
      <c r="B738" s="629">
        <v>0.1757</v>
      </c>
      <c r="D738" s="157"/>
      <c r="E738" s="158"/>
      <c r="F738" s="129"/>
    </row>
    <row r="739" spans="1:6" ht="12" customHeight="1">
      <c r="A739" s="423">
        <v>4.51</v>
      </c>
      <c r="B739" s="629">
        <v>0.17560000000000001</v>
      </c>
      <c r="D739" s="157"/>
      <c r="E739" s="158"/>
      <c r="F739" s="129"/>
    </row>
    <row r="740" spans="1:6" ht="12" customHeight="1">
      <c r="A740" s="423">
        <v>4.5199999999999996</v>
      </c>
      <c r="B740" s="629">
        <v>0.17549999999999999</v>
      </c>
      <c r="D740" s="157"/>
      <c r="E740" s="158"/>
      <c r="F740" s="129"/>
    </row>
    <row r="741" spans="1:6" ht="12" customHeight="1">
      <c r="A741" s="423">
        <v>4.53</v>
      </c>
      <c r="B741" s="629">
        <v>0.1754</v>
      </c>
      <c r="D741" s="157"/>
      <c r="E741" s="158"/>
      <c r="F741" s="129"/>
    </row>
    <row r="742" spans="1:6" ht="12" customHeight="1">
      <c r="A742" s="423">
        <v>4.54</v>
      </c>
      <c r="B742" s="629">
        <v>0.1754</v>
      </c>
      <c r="D742" s="157"/>
      <c r="E742" s="158"/>
      <c r="F742" s="129"/>
    </row>
    <row r="743" spans="1:6" ht="12" customHeight="1">
      <c r="A743" s="423">
        <v>4.55</v>
      </c>
      <c r="B743" s="629">
        <v>0.17530000000000001</v>
      </c>
      <c r="D743" s="157"/>
      <c r="E743" s="158"/>
      <c r="F743" s="129"/>
    </row>
    <row r="744" spans="1:6" ht="12" customHeight="1">
      <c r="A744" s="423">
        <v>4.5599999999999996</v>
      </c>
      <c r="B744" s="629">
        <v>0.17519999999999999</v>
      </c>
      <c r="D744" s="157"/>
      <c r="E744" s="158"/>
      <c r="F744" s="129"/>
    </row>
    <row r="745" spans="1:6" ht="12" customHeight="1">
      <c r="A745" s="423">
        <v>4.57</v>
      </c>
      <c r="B745" s="629">
        <v>0.17510000000000001</v>
      </c>
      <c r="D745" s="157"/>
      <c r="E745" s="158"/>
      <c r="F745" s="129"/>
    </row>
    <row r="746" spans="1:6" ht="12" customHeight="1">
      <c r="A746" s="423">
        <v>4.58</v>
      </c>
      <c r="B746" s="629">
        <v>0.17499999999999999</v>
      </c>
      <c r="D746" s="157"/>
      <c r="E746" s="158"/>
      <c r="F746" s="129"/>
    </row>
    <row r="747" spans="1:6" ht="12" customHeight="1">
      <c r="A747" s="423">
        <v>4.59</v>
      </c>
      <c r="B747" s="629">
        <v>0.1749</v>
      </c>
      <c r="D747" s="157"/>
      <c r="E747" s="158"/>
      <c r="F747" s="129"/>
    </row>
    <row r="748" spans="1:6" ht="12" customHeight="1">
      <c r="A748" s="423">
        <v>4.5999999999999996</v>
      </c>
      <c r="B748" s="629">
        <v>0.1749</v>
      </c>
      <c r="D748" s="157"/>
      <c r="E748" s="158"/>
      <c r="F748" s="129"/>
    </row>
    <row r="749" spans="1:6" ht="12" customHeight="1">
      <c r="A749" s="423">
        <v>4.6100000000000003</v>
      </c>
      <c r="B749" s="629">
        <v>0.17480000000000001</v>
      </c>
      <c r="D749" s="157"/>
      <c r="E749" s="158"/>
      <c r="F749" s="129"/>
    </row>
    <row r="750" spans="1:6" ht="12" customHeight="1">
      <c r="A750" s="423">
        <v>4.62</v>
      </c>
      <c r="B750" s="629">
        <v>0.17469999999999999</v>
      </c>
      <c r="D750" s="157"/>
      <c r="E750" s="158"/>
      <c r="F750" s="129"/>
    </row>
    <row r="751" spans="1:6" ht="12" customHeight="1">
      <c r="A751" s="423">
        <v>4.63</v>
      </c>
      <c r="B751" s="629">
        <v>0.17460000000000001</v>
      </c>
      <c r="D751" s="157"/>
      <c r="E751" s="158"/>
      <c r="F751" s="129"/>
    </row>
    <row r="752" spans="1:6" ht="12" customHeight="1">
      <c r="A752" s="423">
        <v>4.6399999999999997</v>
      </c>
      <c r="B752" s="629">
        <v>0.17449999999999999</v>
      </c>
      <c r="D752" s="157"/>
      <c r="E752" s="158"/>
      <c r="F752" s="129"/>
    </row>
    <row r="753" spans="1:6" ht="12" customHeight="1">
      <c r="A753" s="423">
        <v>4.6500000000000004</v>
      </c>
      <c r="B753" s="629">
        <v>0.1744</v>
      </c>
      <c r="D753" s="157"/>
      <c r="E753" s="158"/>
      <c r="F753" s="129"/>
    </row>
    <row r="754" spans="1:6" ht="12" customHeight="1">
      <c r="A754" s="423">
        <v>4.66</v>
      </c>
      <c r="B754" s="629">
        <v>0.1744</v>
      </c>
      <c r="D754" s="157"/>
      <c r="E754" s="158"/>
      <c r="F754" s="129"/>
    </row>
    <row r="755" spans="1:6" ht="12" customHeight="1">
      <c r="A755" s="423">
        <v>4.67</v>
      </c>
      <c r="B755" s="629">
        <v>0.17430000000000001</v>
      </c>
      <c r="D755" s="157"/>
      <c r="E755" s="158"/>
      <c r="F755" s="129"/>
    </row>
    <row r="756" spans="1:6" ht="12" customHeight="1">
      <c r="A756" s="423">
        <v>4.68</v>
      </c>
      <c r="B756" s="629">
        <v>0.17419999999999999</v>
      </c>
      <c r="D756" s="157"/>
      <c r="E756" s="158"/>
      <c r="F756" s="129"/>
    </row>
    <row r="757" spans="1:6" ht="12" customHeight="1">
      <c r="A757" s="423">
        <v>4.6900000000000004</v>
      </c>
      <c r="B757" s="629">
        <v>0.1741</v>
      </c>
      <c r="D757" s="157"/>
      <c r="E757" s="158"/>
      <c r="F757" s="129"/>
    </row>
    <row r="758" spans="1:6" ht="12" customHeight="1">
      <c r="A758" s="423">
        <v>4.7</v>
      </c>
      <c r="B758" s="629">
        <v>0.17399999999999999</v>
      </c>
      <c r="D758" s="157"/>
      <c r="E758" s="158"/>
      <c r="F758" s="129"/>
    </row>
    <row r="759" spans="1:6" ht="12" customHeight="1">
      <c r="A759" s="423">
        <v>4.71</v>
      </c>
      <c r="B759" s="629">
        <v>0.17399999999999999</v>
      </c>
      <c r="D759" s="157"/>
      <c r="E759" s="158"/>
      <c r="F759" s="129"/>
    </row>
    <row r="760" spans="1:6" ht="12" customHeight="1">
      <c r="A760" s="423">
        <v>4.72</v>
      </c>
      <c r="B760" s="629">
        <v>0.1739</v>
      </c>
      <c r="D760" s="157"/>
      <c r="E760" s="158"/>
      <c r="F760" s="129"/>
    </row>
    <row r="761" spans="1:6" ht="12" customHeight="1">
      <c r="A761" s="423">
        <v>4.7300000000000004</v>
      </c>
      <c r="B761" s="629">
        <v>0.17380000000000001</v>
      </c>
      <c r="D761" s="157"/>
      <c r="E761" s="158"/>
      <c r="F761" s="129"/>
    </row>
    <row r="762" spans="1:6" ht="12" customHeight="1">
      <c r="A762" s="423">
        <v>4.74</v>
      </c>
      <c r="B762" s="629">
        <v>0.17369999999999999</v>
      </c>
      <c r="D762" s="157"/>
      <c r="E762" s="158"/>
      <c r="F762" s="129"/>
    </row>
    <row r="763" spans="1:6" ht="12" customHeight="1">
      <c r="A763" s="423">
        <v>4.75</v>
      </c>
      <c r="B763" s="629">
        <v>0.1736</v>
      </c>
      <c r="D763" s="157"/>
      <c r="E763" s="158"/>
      <c r="F763" s="129"/>
    </row>
    <row r="764" spans="1:6" ht="12" customHeight="1">
      <c r="A764" s="423">
        <v>4.76</v>
      </c>
      <c r="B764" s="629">
        <v>0.1736</v>
      </c>
      <c r="D764" s="157"/>
      <c r="E764" s="158"/>
      <c r="F764" s="129"/>
    </row>
    <row r="765" spans="1:6" ht="12" customHeight="1">
      <c r="A765" s="423">
        <v>4.7699999999999996</v>
      </c>
      <c r="B765" s="629">
        <v>0.17349999999999999</v>
      </c>
      <c r="D765" s="157"/>
      <c r="E765" s="158"/>
      <c r="F765" s="129"/>
    </row>
    <row r="766" spans="1:6" ht="12" customHeight="1">
      <c r="A766" s="423">
        <v>4.78</v>
      </c>
      <c r="B766" s="629">
        <v>0.1734</v>
      </c>
      <c r="D766" s="157"/>
      <c r="E766" s="158"/>
      <c r="F766" s="129"/>
    </row>
    <row r="767" spans="1:6" ht="12" customHeight="1">
      <c r="A767" s="423">
        <v>4.79</v>
      </c>
      <c r="B767" s="629">
        <v>0.17330000000000001</v>
      </c>
      <c r="D767" s="157"/>
      <c r="E767" s="158"/>
      <c r="F767" s="129"/>
    </row>
    <row r="768" spans="1:6" ht="12" customHeight="1">
      <c r="A768" s="423">
        <v>4.8</v>
      </c>
      <c r="B768" s="629">
        <v>0.17319999999999999</v>
      </c>
      <c r="D768" s="157"/>
      <c r="E768" s="158"/>
      <c r="F768" s="129"/>
    </row>
    <row r="769" spans="1:6" ht="12" customHeight="1">
      <c r="A769" s="423">
        <v>4.8099999999999996</v>
      </c>
      <c r="B769" s="629">
        <v>0.17319999999999999</v>
      </c>
      <c r="D769" s="157"/>
      <c r="E769" s="158"/>
      <c r="F769" s="129"/>
    </row>
    <row r="770" spans="1:6" ht="12" customHeight="1">
      <c r="A770" s="423">
        <v>4.82</v>
      </c>
      <c r="B770" s="629">
        <v>0.1731</v>
      </c>
      <c r="D770" s="157"/>
      <c r="E770" s="158"/>
      <c r="F770" s="129"/>
    </row>
    <row r="771" spans="1:6" ht="12" customHeight="1">
      <c r="A771" s="423">
        <v>4.83</v>
      </c>
      <c r="B771" s="629">
        <v>0.17299999999999999</v>
      </c>
      <c r="D771" s="157"/>
      <c r="E771" s="158"/>
      <c r="F771" s="129"/>
    </row>
    <row r="772" spans="1:6" ht="12" customHeight="1">
      <c r="A772" s="423">
        <v>4.84</v>
      </c>
      <c r="B772" s="629">
        <v>0.1729</v>
      </c>
      <c r="D772" s="157"/>
      <c r="E772" s="158"/>
      <c r="F772" s="129"/>
    </row>
    <row r="773" spans="1:6" ht="12" customHeight="1">
      <c r="A773" s="423">
        <v>4.8499999999999996</v>
      </c>
      <c r="B773" s="629">
        <v>0.17280000000000001</v>
      </c>
      <c r="D773" s="157"/>
      <c r="E773" s="158"/>
      <c r="F773" s="129"/>
    </row>
    <row r="774" spans="1:6" ht="12" customHeight="1">
      <c r="A774" s="423">
        <v>4.8600000000000003</v>
      </c>
      <c r="B774" s="629">
        <v>0.17280000000000001</v>
      </c>
      <c r="D774" s="157"/>
      <c r="E774" s="158"/>
      <c r="F774" s="129"/>
    </row>
    <row r="775" spans="1:6" ht="12" customHeight="1">
      <c r="A775" s="423">
        <v>4.87</v>
      </c>
      <c r="B775" s="629">
        <v>0.17269999999999999</v>
      </c>
      <c r="D775" s="157"/>
      <c r="E775" s="158"/>
      <c r="F775" s="129"/>
    </row>
    <row r="776" spans="1:6" ht="12" customHeight="1">
      <c r="A776" s="423">
        <v>4.88</v>
      </c>
      <c r="B776" s="629">
        <v>0.1726</v>
      </c>
      <c r="D776" s="157"/>
      <c r="E776" s="158"/>
      <c r="F776" s="129"/>
    </row>
    <row r="777" spans="1:6" ht="12" customHeight="1">
      <c r="A777" s="423">
        <v>4.8899999999999997</v>
      </c>
      <c r="B777" s="629">
        <v>0.17249999999999999</v>
      </c>
      <c r="D777" s="157"/>
      <c r="E777" s="158"/>
      <c r="F777" s="129"/>
    </row>
    <row r="778" spans="1:6" ht="12" customHeight="1">
      <c r="A778" s="423">
        <v>4.9000000000000004</v>
      </c>
      <c r="B778" s="629">
        <v>0.17249999999999999</v>
      </c>
      <c r="D778" s="157"/>
      <c r="E778" s="158"/>
      <c r="F778" s="129"/>
    </row>
    <row r="779" spans="1:6" ht="12" customHeight="1">
      <c r="A779" s="423">
        <v>4.91</v>
      </c>
      <c r="B779" s="629">
        <v>0.1724</v>
      </c>
      <c r="D779" s="157"/>
      <c r="E779" s="158"/>
      <c r="F779" s="129"/>
    </row>
    <row r="780" spans="1:6" ht="12" customHeight="1">
      <c r="A780" s="423">
        <v>4.92</v>
      </c>
      <c r="B780" s="629">
        <v>0.17230000000000001</v>
      </c>
      <c r="D780" s="157"/>
      <c r="E780" s="158"/>
      <c r="F780" s="129"/>
    </row>
    <row r="781" spans="1:6" ht="12" customHeight="1">
      <c r="A781" s="423">
        <v>4.93</v>
      </c>
      <c r="B781" s="629">
        <v>0.17219999999999999</v>
      </c>
      <c r="D781" s="157"/>
      <c r="E781" s="158"/>
      <c r="F781" s="129"/>
    </row>
    <row r="782" spans="1:6" ht="12" customHeight="1">
      <c r="A782" s="423">
        <v>4.9400000000000004</v>
      </c>
      <c r="B782" s="629">
        <v>0.1721</v>
      </c>
      <c r="D782" s="157"/>
      <c r="E782" s="158"/>
      <c r="F782" s="129"/>
    </row>
    <row r="783" spans="1:6" ht="12" customHeight="1">
      <c r="A783" s="423">
        <v>4.95</v>
      </c>
      <c r="B783" s="629">
        <v>0.1721</v>
      </c>
      <c r="D783" s="157"/>
      <c r="E783" s="158"/>
      <c r="F783" s="129"/>
    </row>
    <row r="784" spans="1:6" ht="12" customHeight="1">
      <c r="A784" s="423">
        <v>4.96</v>
      </c>
      <c r="B784" s="629">
        <v>0.17199999999999999</v>
      </c>
      <c r="D784" s="157"/>
      <c r="E784" s="158"/>
      <c r="F784" s="129"/>
    </row>
    <row r="785" spans="1:6" ht="12" customHeight="1">
      <c r="A785" s="423">
        <v>4.97</v>
      </c>
      <c r="B785" s="629">
        <v>0.1719</v>
      </c>
      <c r="D785" s="157"/>
      <c r="E785" s="158"/>
      <c r="F785" s="129"/>
    </row>
    <row r="786" spans="1:6" ht="12" customHeight="1">
      <c r="A786" s="423">
        <v>4.9800000000000004</v>
      </c>
      <c r="B786" s="629">
        <v>0.17180000000000001</v>
      </c>
      <c r="D786" s="157"/>
      <c r="E786" s="158"/>
      <c r="F786" s="129"/>
    </row>
    <row r="787" spans="1:6" ht="12" customHeight="1">
      <c r="A787" s="423">
        <v>4.99</v>
      </c>
      <c r="B787" s="629">
        <v>0.17180000000000001</v>
      </c>
      <c r="D787" s="157"/>
      <c r="E787" s="158"/>
      <c r="F787" s="129"/>
    </row>
    <row r="788" spans="1:6" ht="12" customHeight="1">
      <c r="A788" s="423">
        <v>5</v>
      </c>
      <c r="B788" s="629">
        <v>0.17169999999999999</v>
      </c>
      <c r="D788" s="157"/>
      <c r="E788" s="158"/>
      <c r="F788" s="129"/>
    </row>
    <row r="789" spans="1:6" ht="12" customHeight="1">
      <c r="A789" s="423">
        <v>5.01</v>
      </c>
      <c r="B789" s="629">
        <v>0.1716</v>
      </c>
      <c r="D789" s="157"/>
      <c r="E789" s="158"/>
      <c r="F789" s="129"/>
    </row>
    <row r="790" spans="1:6" ht="12" customHeight="1">
      <c r="A790" s="423">
        <v>5.0199999999999996</v>
      </c>
      <c r="B790" s="629">
        <v>0.17150000000000001</v>
      </c>
      <c r="D790" s="157"/>
      <c r="E790" s="158"/>
      <c r="F790" s="129"/>
    </row>
    <row r="791" spans="1:6" ht="12" customHeight="1">
      <c r="A791" s="423">
        <v>5.03</v>
      </c>
      <c r="B791" s="629">
        <v>0.17150000000000001</v>
      </c>
      <c r="D791" s="157"/>
      <c r="E791" s="158"/>
      <c r="F791" s="129"/>
    </row>
    <row r="792" spans="1:6" ht="12" customHeight="1">
      <c r="A792" s="423">
        <v>5.04</v>
      </c>
      <c r="B792" s="629">
        <v>0.1714</v>
      </c>
      <c r="D792" s="157"/>
      <c r="E792" s="158"/>
      <c r="F792" s="129"/>
    </row>
    <row r="793" spans="1:6" ht="12" customHeight="1">
      <c r="A793" s="423">
        <v>5.05</v>
      </c>
      <c r="B793" s="629">
        <v>0.17130000000000001</v>
      </c>
      <c r="D793" s="157"/>
      <c r="E793" s="158"/>
      <c r="F793" s="129"/>
    </row>
    <row r="794" spans="1:6" ht="12" customHeight="1">
      <c r="A794" s="423">
        <v>5.0599999999999996</v>
      </c>
      <c r="B794" s="629">
        <v>0.17119999999999999</v>
      </c>
      <c r="D794" s="157"/>
      <c r="E794" s="158"/>
      <c r="F794" s="129"/>
    </row>
    <row r="795" spans="1:6" ht="12" customHeight="1">
      <c r="A795" s="423">
        <v>5.07</v>
      </c>
      <c r="B795" s="629">
        <v>0.17119999999999999</v>
      </c>
      <c r="D795" s="157"/>
      <c r="E795" s="158"/>
      <c r="F795" s="129"/>
    </row>
    <row r="796" spans="1:6" ht="12" customHeight="1">
      <c r="A796" s="423">
        <v>5.08</v>
      </c>
      <c r="B796" s="629">
        <v>0.1711</v>
      </c>
      <c r="D796" s="157"/>
      <c r="E796" s="158"/>
      <c r="F796" s="129"/>
    </row>
    <row r="797" spans="1:6" ht="12" customHeight="1">
      <c r="A797" s="423">
        <v>5.09</v>
      </c>
      <c r="B797" s="629">
        <v>0.17100000000000001</v>
      </c>
      <c r="D797" s="157"/>
      <c r="E797" s="158"/>
      <c r="F797" s="129"/>
    </row>
    <row r="798" spans="1:6" ht="12" customHeight="1">
      <c r="A798" s="423">
        <v>5.0999999999999996</v>
      </c>
      <c r="B798" s="629">
        <v>0.1709</v>
      </c>
      <c r="D798" s="157"/>
      <c r="E798" s="158"/>
      <c r="F798" s="129"/>
    </row>
    <row r="799" spans="1:6" ht="12" customHeight="1">
      <c r="A799" s="423">
        <v>5.1100000000000003</v>
      </c>
      <c r="B799" s="629">
        <v>0.1709</v>
      </c>
      <c r="D799" s="157"/>
      <c r="E799" s="158"/>
      <c r="F799" s="129"/>
    </row>
    <row r="800" spans="1:6" ht="12" customHeight="1">
      <c r="A800" s="423">
        <v>5.12</v>
      </c>
      <c r="B800" s="629">
        <v>0.17080000000000001</v>
      </c>
      <c r="D800" s="157"/>
      <c r="E800" s="158"/>
      <c r="F800" s="129"/>
    </row>
    <row r="801" spans="1:6" ht="12" customHeight="1">
      <c r="A801" s="423">
        <v>5.13</v>
      </c>
      <c r="B801" s="629">
        <v>0.17069999999999999</v>
      </c>
      <c r="D801" s="157"/>
      <c r="E801" s="158"/>
      <c r="F801" s="129"/>
    </row>
    <row r="802" spans="1:6" ht="12" customHeight="1">
      <c r="A802" s="423">
        <v>5.14</v>
      </c>
      <c r="B802" s="629">
        <v>0.17069999999999999</v>
      </c>
      <c r="D802" s="157"/>
      <c r="E802" s="158"/>
      <c r="F802" s="129"/>
    </row>
    <row r="803" spans="1:6" ht="12" customHeight="1">
      <c r="A803" s="423">
        <v>5.15</v>
      </c>
      <c r="B803" s="629">
        <v>0.1706</v>
      </c>
      <c r="D803" s="157"/>
      <c r="E803" s="158"/>
      <c r="F803" s="129"/>
    </row>
    <row r="804" spans="1:6" ht="12" customHeight="1">
      <c r="A804" s="423">
        <v>5.16</v>
      </c>
      <c r="B804" s="629">
        <v>0.17050000000000001</v>
      </c>
      <c r="D804" s="157"/>
      <c r="E804" s="158"/>
      <c r="F804" s="129"/>
    </row>
    <row r="805" spans="1:6" ht="12" customHeight="1">
      <c r="A805" s="423">
        <v>5.17</v>
      </c>
      <c r="B805" s="629">
        <v>0.1704</v>
      </c>
      <c r="D805" s="157"/>
      <c r="E805" s="158"/>
      <c r="F805" s="129"/>
    </row>
    <row r="806" spans="1:6" ht="12" customHeight="1">
      <c r="A806" s="423">
        <v>5.18</v>
      </c>
      <c r="B806" s="629">
        <v>0.1704</v>
      </c>
      <c r="D806" s="157"/>
      <c r="E806" s="158"/>
      <c r="F806" s="129"/>
    </row>
    <row r="807" spans="1:6" ht="12" customHeight="1">
      <c r="A807" s="423">
        <v>5.19</v>
      </c>
      <c r="B807" s="629">
        <v>0.17030000000000001</v>
      </c>
      <c r="D807" s="157"/>
      <c r="E807" s="158"/>
      <c r="F807" s="129"/>
    </row>
    <row r="808" spans="1:6" ht="12" customHeight="1">
      <c r="A808" s="423">
        <v>5.2</v>
      </c>
      <c r="B808" s="629">
        <v>0.17019999999999999</v>
      </c>
      <c r="D808" s="157"/>
      <c r="E808" s="158"/>
      <c r="F808" s="129"/>
    </row>
    <row r="809" spans="1:6" ht="12" customHeight="1">
      <c r="A809" s="423">
        <v>5.21</v>
      </c>
      <c r="B809" s="629">
        <v>0.17019999999999999</v>
      </c>
      <c r="D809" s="157"/>
      <c r="E809" s="158"/>
      <c r="F809" s="129"/>
    </row>
    <row r="810" spans="1:6" ht="12" customHeight="1">
      <c r="A810" s="423">
        <v>5.22</v>
      </c>
      <c r="B810" s="629">
        <v>0.1701</v>
      </c>
      <c r="D810" s="157"/>
      <c r="E810" s="158"/>
      <c r="F810" s="129"/>
    </row>
    <row r="811" spans="1:6" ht="12" customHeight="1">
      <c r="A811" s="423">
        <v>5.23</v>
      </c>
      <c r="B811" s="629">
        <v>0.17</v>
      </c>
      <c r="D811" s="157"/>
      <c r="E811" s="158"/>
      <c r="F811" s="129"/>
    </row>
    <row r="812" spans="1:6" ht="12" customHeight="1">
      <c r="A812" s="423">
        <v>5.24</v>
      </c>
      <c r="B812" s="629">
        <v>0.1699</v>
      </c>
      <c r="D812" s="157"/>
      <c r="E812" s="158"/>
      <c r="F812" s="129"/>
    </row>
    <row r="813" spans="1:6" ht="12" customHeight="1">
      <c r="A813" s="423">
        <v>5.25</v>
      </c>
      <c r="B813" s="629">
        <v>0.1699</v>
      </c>
      <c r="D813" s="157"/>
      <c r="E813" s="158"/>
      <c r="F813" s="129"/>
    </row>
    <row r="814" spans="1:6" ht="12" customHeight="1">
      <c r="A814" s="423">
        <v>5.26</v>
      </c>
      <c r="B814" s="629">
        <v>0.16980000000000001</v>
      </c>
      <c r="D814" s="157"/>
      <c r="E814" s="158"/>
      <c r="F814" s="129"/>
    </row>
    <row r="815" spans="1:6" ht="12" customHeight="1">
      <c r="A815" s="423">
        <v>5.27</v>
      </c>
      <c r="B815" s="629">
        <v>0.16969999999999999</v>
      </c>
      <c r="D815" s="157"/>
      <c r="E815" s="158"/>
      <c r="F815" s="129"/>
    </row>
    <row r="816" spans="1:6" ht="12" customHeight="1">
      <c r="A816" s="423">
        <v>5.28</v>
      </c>
      <c r="B816" s="629">
        <v>0.16969999999999999</v>
      </c>
      <c r="D816" s="157"/>
      <c r="E816" s="158"/>
      <c r="F816" s="129"/>
    </row>
    <row r="817" spans="1:6" ht="12" customHeight="1">
      <c r="A817" s="423">
        <v>5.29</v>
      </c>
      <c r="B817" s="629">
        <v>0.1696</v>
      </c>
      <c r="D817" s="157"/>
      <c r="E817" s="158"/>
      <c r="F817" s="129"/>
    </row>
    <row r="818" spans="1:6" ht="12" customHeight="1">
      <c r="A818" s="423">
        <v>5.3</v>
      </c>
      <c r="B818" s="629">
        <v>0.16950000000000001</v>
      </c>
      <c r="D818" s="157"/>
      <c r="E818" s="158"/>
      <c r="F818" s="129"/>
    </row>
    <row r="819" spans="1:6" ht="12" customHeight="1">
      <c r="A819" s="423">
        <v>5.31</v>
      </c>
      <c r="B819" s="629">
        <v>0.1694</v>
      </c>
      <c r="D819" s="157"/>
      <c r="E819" s="158"/>
      <c r="F819" s="129"/>
    </row>
    <row r="820" spans="1:6" ht="12" customHeight="1">
      <c r="A820" s="423">
        <v>5.32</v>
      </c>
      <c r="B820" s="629">
        <v>0.1694</v>
      </c>
      <c r="D820" s="157"/>
      <c r="E820" s="158"/>
      <c r="F820" s="129"/>
    </row>
    <row r="821" spans="1:6" ht="12" customHeight="1">
      <c r="A821" s="423">
        <v>5.33</v>
      </c>
      <c r="B821" s="629">
        <v>0.16930000000000001</v>
      </c>
      <c r="D821" s="157"/>
      <c r="E821" s="158"/>
      <c r="F821" s="129"/>
    </row>
    <row r="822" spans="1:6" ht="12" customHeight="1">
      <c r="A822" s="423">
        <v>5.34</v>
      </c>
      <c r="B822" s="629">
        <v>0.16919999999999999</v>
      </c>
      <c r="D822" s="157"/>
      <c r="E822" s="158"/>
      <c r="F822" s="129"/>
    </row>
    <row r="823" spans="1:6" ht="12" customHeight="1">
      <c r="A823" s="423">
        <v>5.35</v>
      </c>
      <c r="B823" s="629">
        <v>0.16919999999999999</v>
      </c>
      <c r="D823" s="157"/>
      <c r="E823" s="158"/>
      <c r="F823" s="129"/>
    </row>
    <row r="824" spans="1:6" ht="12" customHeight="1">
      <c r="A824" s="423">
        <v>5.36</v>
      </c>
      <c r="B824" s="629">
        <v>0.1691</v>
      </c>
      <c r="D824" s="157"/>
      <c r="E824" s="158"/>
      <c r="F824" s="129"/>
    </row>
    <row r="825" spans="1:6" ht="12" customHeight="1">
      <c r="A825" s="423">
        <v>5.37</v>
      </c>
      <c r="B825" s="629">
        <v>0.16900000000000001</v>
      </c>
      <c r="D825" s="157"/>
      <c r="E825" s="158"/>
      <c r="F825" s="129"/>
    </row>
    <row r="826" spans="1:6" ht="12" customHeight="1">
      <c r="A826" s="423">
        <v>5.38</v>
      </c>
      <c r="B826" s="629">
        <v>0.16900000000000001</v>
      </c>
      <c r="D826" s="157"/>
      <c r="E826" s="158"/>
      <c r="F826" s="129"/>
    </row>
    <row r="827" spans="1:6" ht="12" customHeight="1">
      <c r="A827" s="423">
        <v>5.39</v>
      </c>
      <c r="B827" s="629">
        <v>0.16889999999999999</v>
      </c>
      <c r="D827" s="157"/>
      <c r="E827" s="158"/>
      <c r="F827" s="129"/>
    </row>
    <row r="828" spans="1:6" ht="12" customHeight="1">
      <c r="A828" s="423">
        <v>5.4</v>
      </c>
      <c r="B828" s="629">
        <v>0.16880000000000001</v>
      </c>
      <c r="D828" s="157"/>
      <c r="E828" s="158"/>
      <c r="F828" s="129"/>
    </row>
    <row r="829" spans="1:6" ht="12" customHeight="1">
      <c r="A829" s="423">
        <v>5.41</v>
      </c>
      <c r="B829" s="629">
        <v>0.16880000000000001</v>
      </c>
      <c r="D829" s="157"/>
      <c r="E829" s="158"/>
      <c r="F829" s="129"/>
    </row>
    <row r="830" spans="1:6" ht="12" customHeight="1">
      <c r="A830" s="423">
        <v>5.42</v>
      </c>
      <c r="B830" s="629">
        <v>0.16869999999999999</v>
      </c>
      <c r="D830" s="157"/>
      <c r="E830" s="158"/>
      <c r="F830" s="129"/>
    </row>
    <row r="831" spans="1:6" ht="12" customHeight="1">
      <c r="A831" s="423">
        <v>5.43</v>
      </c>
      <c r="B831" s="629">
        <v>0.1686</v>
      </c>
      <c r="D831" s="157"/>
      <c r="E831" s="158"/>
      <c r="F831" s="129"/>
    </row>
    <row r="832" spans="1:6" ht="12" customHeight="1">
      <c r="A832" s="423">
        <v>5.44</v>
      </c>
      <c r="B832" s="629">
        <v>0.1686</v>
      </c>
      <c r="D832" s="157"/>
      <c r="E832" s="158"/>
      <c r="F832" s="129"/>
    </row>
    <row r="833" spans="1:6" ht="12" customHeight="1">
      <c r="A833" s="423">
        <v>5.45</v>
      </c>
      <c r="B833" s="629">
        <v>0.16850000000000001</v>
      </c>
      <c r="D833" s="157"/>
      <c r="E833" s="158"/>
      <c r="F833" s="129"/>
    </row>
    <row r="834" spans="1:6" ht="12" customHeight="1">
      <c r="A834" s="423">
        <v>5.46</v>
      </c>
      <c r="B834" s="629">
        <v>0.16839999999999999</v>
      </c>
      <c r="D834" s="157"/>
      <c r="E834" s="158"/>
      <c r="F834" s="129"/>
    </row>
    <row r="835" spans="1:6" ht="12" customHeight="1">
      <c r="A835" s="423">
        <v>5.47</v>
      </c>
      <c r="B835" s="629">
        <v>0.16830000000000001</v>
      </c>
      <c r="D835" s="157"/>
      <c r="E835" s="158"/>
      <c r="F835" s="129"/>
    </row>
    <row r="836" spans="1:6" ht="12" customHeight="1">
      <c r="A836" s="423">
        <v>5.48</v>
      </c>
      <c r="B836" s="629">
        <v>0.16830000000000001</v>
      </c>
      <c r="D836" s="157"/>
      <c r="E836" s="158"/>
      <c r="F836" s="129"/>
    </row>
    <row r="837" spans="1:6" ht="12" customHeight="1">
      <c r="A837" s="423">
        <v>5.49</v>
      </c>
      <c r="B837" s="629">
        <v>0.16819999999999999</v>
      </c>
      <c r="D837" s="157"/>
      <c r="E837" s="158"/>
      <c r="F837" s="129"/>
    </row>
    <row r="838" spans="1:6" ht="12" customHeight="1">
      <c r="A838" s="423">
        <v>5.5</v>
      </c>
      <c r="B838" s="629">
        <v>0.1681</v>
      </c>
      <c r="D838" s="157"/>
      <c r="E838" s="158"/>
      <c r="F838" s="129"/>
    </row>
    <row r="839" spans="1:6" ht="12" customHeight="1">
      <c r="A839" s="423">
        <v>5.51</v>
      </c>
      <c r="B839" s="629">
        <v>0.1681</v>
      </c>
      <c r="D839" s="157"/>
      <c r="E839" s="158"/>
      <c r="F839" s="129"/>
    </row>
    <row r="840" spans="1:6" ht="12" customHeight="1">
      <c r="A840" s="423">
        <v>5.52</v>
      </c>
      <c r="B840" s="629">
        <v>0.16800000000000001</v>
      </c>
      <c r="D840" s="157"/>
      <c r="E840" s="158"/>
      <c r="F840" s="129"/>
    </row>
    <row r="841" spans="1:6" ht="12" customHeight="1">
      <c r="A841" s="423">
        <v>5.53</v>
      </c>
      <c r="B841" s="629">
        <v>0.16789999999999999</v>
      </c>
      <c r="D841" s="157"/>
      <c r="E841" s="158"/>
      <c r="F841" s="129"/>
    </row>
    <row r="842" spans="1:6" ht="12" customHeight="1">
      <c r="A842" s="423">
        <v>5.54</v>
      </c>
      <c r="B842" s="629">
        <v>0.16789999999999999</v>
      </c>
      <c r="D842" s="157"/>
      <c r="E842" s="158"/>
      <c r="F842" s="129"/>
    </row>
    <row r="843" spans="1:6" ht="12" customHeight="1">
      <c r="A843" s="423">
        <v>5.55</v>
      </c>
      <c r="B843" s="629">
        <v>0.1678</v>
      </c>
      <c r="D843" s="157"/>
      <c r="E843" s="158"/>
      <c r="F843" s="129"/>
    </row>
    <row r="844" spans="1:6" ht="12" customHeight="1">
      <c r="A844" s="423">
        <v>5.56</v>
      </c>
      <c r="B844" s="629">
        <v>0.16769999999999999</v>
      </c>
      <c r="D844" s="157"/>
      <c r="E844" s="158"/>
      <c r="F844" s="129"/>
    </row>
    <row r="845" spans="1:6" ht="12" customHeight="1">
      <c r="A845" s="423">
        <v>5.57</v>
      </c>
      <c r="B845" s="629">
        <v>0.16769999999999999</v>
      </c>
      <c r="D845" s="157"/>
      <c r="E845" s="158"/>
      <c r="F845" s="129"/>
    </row>
    <row r="846" spans="1:6" ht="12" customHeight="1">
      <c r="A846" s="423">
        <v>5.58</v>
      </c>
      <c r="B846" s="629">
        <v>0.1676</v>
      </c>
      <c r="D846" s="157"/>
      <c r="E846" s="158"/>
      <c r="F846" s="129"/>
    </row>
    <row r="847" spans="1:6" ht="12" customHeight="1">
      <c r="A847" s="423">
        <v>5.59</v>
      </c>
      <c r="B847" s="629">
        <v>0.16750000000000001</v>
      </c>
      <c r="D847" s="157"/>
      <c r="E847" s="158"/>
      <c r="F847" s="129"/>
    </row>
    <row r="848" spans="1:6" ht="12" customHeight="1">
      <c r="A848" s="423">
        <v>5.6</v>
      </c>
      <c r="B848" s="629">
        <v>0.16750000000000001</v>
      </c>
      <c r="D848" s="157"/>
      <c r="E848" s="158"/>
      <c r="F848" s="129"/>
    </row>
    <row r="849" spans="1:6" ht="12" customHeight="1">
      <c r="A849" s="423">
        <v>5.61</v>
      </c>
      <c r="B849" s="629">
        <v>0.16739999999999999</v>
      </c>
      <c r="D849" s="157"/>
      <c r="E849" s="158"/>
      <c r="F849" s="129"/>
    </row>
    <row r="850" spans="1:6" ht="12" customHeight="1">
      <c r="A850" s="423">
        <v>5.62</v>
      </c>
      <c r="B850" s="629">
        <v>0.16739999999999999</v>
      </c>
      <c r="D850" s="157"/>
      <c r="E850" s="158"/>
      <c r="F850" s="129"/>
    </row>
    <row r="851" spans="1:6" ht="12" customHeight="1">
      <c r="A851" s="423">
        <v>5.63</v>
      </c>
      <c r="B851" s="629">
        <v>0.1673</v>
      </c>
      <c r="D851" s="157"/>
      <c r="E851" s="158"/>
      <c r="F851" s="129"/>
    </row>
    <row r="852" spans="1:6" ht="12" customHeight="1">
      <c r="A852" s="423">
        <v>5.64</v>
      </c>
      <c r="B852" s="629">
        <v>0.16719999999999999</v>
      </c>
      <c r="D852" s="157"/>
      <c r="E852" s="158"/>
      <c r="F852" s="129"/>
    </row>
    <row r="853" spans="1:6" ht="12" customHeight="1">
      <c r="A853" s="423">
        <v>5.65</v>
      </c>
      <c r="B853" s="629">
        <v>0.16719999999999999</v>
      </c>
      <c r="D853" s="157"/>
      <c r="E853" s="158"/>
      <c r="F853" s="129"/>
    </row>
    <row r="854" spans="1:6" ht="12" customHeight="1">
      <c r="A854" s="423">
        <v>5.66</v>
      </c>
      <c r="B854" s="629">
        <v>0.1671</v>
      </c>
      <c r="D854" s="157"/>
      <c r="E854" s="158"/>
      <c r="F854" s="129"/>
    </row>
    <row r="855" spans="1:6" ht="12" customHeight="1">
      <c r="A855" s="423">
        <v>5.67</v>
      </c>
      <c r="B855" s="629">
        <v>0.16700000000000001</v>
      </c>
      <c r="D855" s="157"/>
      <c r="E855" s="158"/>
      <c r="F855" s="129"/>
    </row>
    <row r="856" spans="1:6" ht="12" customHeight="1">
      <c r="A856" s="423">
        <v>5.68</v>
      </c>
      <c r="B856" s="629">
        <v>0.16700000000000001</v>
      </c>
      <c r="D856" s="157"/>
      <c r="E856" s="158"/>
      <c r="F856" s="129"/>
    </row>
    <row r="857" spans="1:6" ht="12" customHeight="1">
      <c r="A857" s="423">
        <v>5.69</v>
      </c>
      <c r="B857" s="629">
        <v>0.16689999999999999</v>
      </c>
      <c r="D857" s="157"/>
      <c r="E857" s="158"/>
      <c r="F857" s="129"/>
    </row>
    <row r="858" spans="1:6" ht="12" customHeight="1">
      <c r="A858" s="423">
        <v>5.7</v>
      </c>
      <c r="B858" s="629">
        <v>0.1668</v>
      </c>
      <c r="D858" s="157"/>
      <c r="E858" s="158"/>
      <c r="F858" s="129"/>
    </row>
    <row r="859" spans="1:6" ht="12" customHeight="1">
      <c r="A859" s="423">
        <v>5.71</v>
      </c>
      <c r="B859" s="629">
        <v>0.1668</v>
      </c>
      <c r="D859" s="157"/>
      <c r="E859" s="158"/>
      <c r="F859" s="129"/>
    </row>
    <row r="860" spans="1:6" ht="12" customHeight="1">
      <c r="A860" s="423">
        <v>5.72</v>
      </c>
      <c r="B860" s="629">
        <v>0.16669999999999999</v>
      </c>
      <c r="D860" s="157"/>
      <c r="E860" s="158"/>
      <c r="F860" s="129"/>
    </row>
    <row r="861" spans="1:6" ht="12" customHeight="1">
      <c r="A861" s="423">
        <v>5.73</v>
      </c>
      <c r="B861" s="629">
        <v>0.1666</v>
      </c>
      <c r="D861" s="157"/>
      <c r="E861" s="158"/>
      <c r="F861" s="129"/>
    </row>
    <row r="862" spans="1:6" ht="12" customHeight="1">
      <c r="A862" s="423">
        <v>5.74</v>
      </c>
      <c r="B862" s="629">
        <v>0.1666</v>
      </c>
      <c r="D862" s="157"/>
      <c r="E862" s="158"/>
      <c r="F862" s="129"/>
    </row>
    <row r="863" spans="1:6" ht="12" customHeight="1">
      <c r="A863" s="423">
        <v>5.75</v>
      </c>
      <c r="B863" s="629">
        <v>0.16650000000000001</v>
      </c>
      <c r="D863" s="157"/>
      <c r="E863" s="158"/>
      <c r="F863" s="129"/>
    </row>
    <row r="864" spans="1:6" ht="12" customHeight="1">
      <c r="A864" s="423">
        <v>5.76</v>
      </c>
      <c r="B864" s="629">
        <v>0.16650000000000001</v>
      </c>
      <c r="D864" s="157"/>
      <c r="E864" s="158"/>
      <c r="F864" s="129"/>
    </row>
    <row r="865" spans="1:6" ht="12" customHeight="1">
      <c r="A865" s="423">
        <v>5.77</v>
      </c>
      <c r="B865" s="629">
        <v>0.16639999999999999</v>
      </c>
      <c r="D865" s="157"/>
      <c r="E865" s="158"/>
      <c r="F865" s="129"/>
    </row>
    <row r="866" spans="1:6" ht="12" customHeight="1">
      <c r="A866" s="423">
        <v>5.78</v>
      </c>
      <c r="B866" s="629">
        <v>0.1663</v>
      </c>
      <c r="D866" s="157"/>
      <c r="E866" s="158"/>
      <c r="F866" s="129"/>
    </row>
    <row r="867" spans="1:6" ht="12" customHeight="1">
      <c r="A867" s="423">
        <v>5.79</v>
      </c>
      <c r="B867" s="629">
        <v>0.1663</v>
      </c>
      <c r="D867" s="157"/>
      <c r="E867" s="158"/>
      <c r="F867" s="129"/>
    </row>
    <row r="868" spans="1:6" ht="12" customHeight="1">
      <c r="A868" s="423">
        <v>5.8</v>
      </c>
      <c r="B868" s="629">
        <v>0.16619999999999999</v>
      </c>
      <c r="D868" s="157"/>
      <c r="E868" s="158"/>
      <c r="F868" s="129"/>
    </row>
    <row r="869" spans="1:6" ht="12" customHeight="1">
      <c r="A869" s="423">
        <v>5.81</v>
      </c>
      <c r="B869" s="629">
        <v>0.1661</v>
      </c>
      <c r="D869" s="157"/>
      <c r="E869" s="158"/>
      <c r="F869" s="129"/>
    </row>
    <row r="870" spans="1:6" ht="12" customHeight="1">
      <c r="A870" s="423">
        <v>5.82</v>
      </c>
      <c r="B870" s="629">
        <v>0.1661</v>
      </c>
      <c r="D870" s="157"/>
      <c r="E870" s="158"/>
      <c r="F870" s="129"/>
    </row>
    <row r="871" spans="1:6" ht="12" customHeight="1">
      <c r="A871" s="423">
        <v>5.83</v>
      </c>
      <c r="B871" s="629">
        <v>0.16600000000000001</v>
      </c>
      <c r="D871" s="157"/>
      <c r="E871" s="158"/>
      <c r="F871" s="129"/>
    </row>
    <row r="872" spans="1:6" ht="12" customHeight="1">
      <c r="A872" s="423">
        <v>5.84</v>
      </c>
      <c r="B872" s="629">
        <v>0.16600000000000001</v>
      </c>
      <c r="D872" s="157"/>
      <c r="E872" s="158"/>
      <c r="F872" s="129"/>
    </row>
    <row r="873" spans="1:6" ht="12" customHeight="1">
      <c r="A873" s="423">
        <v>5.85</v>
      </c>
      <c r="B873" s="629">
        <v>0.16589999999999999</v>
      </c>
      <c r="D873" s="157"/>
      <c r="E873" s="158"/>
      <c r="F873" s="129"/>
    </row>
    <row r="874" spans="1:6" ht="12" customHeight="1">
      <c r="A874" s="423">
        <v>5.86</v>
      </c>
      <c r="B874" s="629">
        <v>0.1658</v>
      </c>
      <c r="D874" s="157"/>
      <c r="E874" s="158"/>
      <c r="F874" s="129"/>
    </row>
    <row r="875" spans="1:6" ht="12" customHeight="1">
      <c r="A875" s="423">
        <v>5.87</v>
      </c>
      <c r="B875" s="629">
        <v>0.1658</v>
      </c>
      <c r="D875" s="157"/>
      <c r="E875" s="158"/>
      <c r="F875" s="129"/>
    </row>
    <row r="876" spans="1:6" ht="12" customHeight="1">
      <c r="A876" s="423">
        <v>5.88</v>
      </c>
      <c r="B876" s="629">
        <v>0.16569999999999999</v>
      </c>
      <c r="D876" s="157"/>
      <c r="E876" s="158"/>
      <c r="F876" s="129"/>
    </row>
    <row r="877" spans="1:6" ht="12" customHeight="1">
      <c r="A877" s="423">
        <v>5.89</v>
      </c>
      <c r="B877" s="629">
        <v>0.1656</v>
      </c>
      <c r="D877" s="157"/>
      <c r="E877" s="158"/>
      <c r="F877" s="129"/>
    </row>
    <row r="878" spans="1:6" ht="12" customHeight="1">
      <c r="A878" s="423">
        <v>5.9</v>
      </c>
      <c r="B878" s="629">
        <v>0.1656</v>
      </c>
      <c r="D878" s="157"/>
      <c r="E878" s="158"/>
      <c r="F878" s="129"/>
    </row>
    <row r="879" spans="1:6" ht="12" customHeight="1">
      <c r="A879" s="423">
        <v>5.91</v>
      </c>
      <c r="B879" s="629">
        <v>0.16550000000000001</v>
      </c>
      <c r="D879" s="157"/>
      <c r="E879" s="158"/>
      <c r="F879" s="129"/>
    </row>
    <row r="880" spans="1:6" ht="12" customHeight="1">
      <c r="A880" s="423">
        <v>5.92</v>
      </c>
      <c r="B880" s="629">
        <v>0.16550000000000001</v>
      </c>
      <c r="D880" s="157"/>
      <c r="E880" s="158"/>
      <c r="F880" s="129"/>
    </row>
    <row r="881" spans="1:6" ht="12" customHeight="1">
      <c r="A881" s="423">
        <v>5.93</v>
      </c>
      <c r="B881" s="629">
        <v>0.16539999999999999</v>
      </c>
      <c r="D881" s="157"/>
      <c r="E881" s="158"/>
      <c r="F881" s="129"/>
    </row>
    <row r="882" spans="1:6" ht="12" customHeight="1">
      <c r="A882" s="423">
        <v>5.94</v>
      </c>
      <c r="B882" s="629">
        <v>0.1653</v>
      </c>
      <c r="D882" s="157"/>
      <c r="E882" s="158"/>
      <c r="F882" s="129"/>
    </row>
    <row r="883" spans="1:6" ht="12" customHeight="1">
      <c r="A883" s="423">
        <v>5.95</v>
      </c>
      <c r="B883" s="629">
        <v>0.1653</v>
      </c>
      <c r="D883" s="157"/>
      <c r="E883" s="158"/>
      <c r="F883" s="129"/>
    </row>
    <row r="884" spans="1:6" ht="12" customHeight="1">
      <c r="A884" s="423">
        <v>5.96</v>
      </c>
      <c r="B884" s="629">
        <v>0.16520000000000001</v>
      </c>
      <c r="D884" s="157"/>
      <c r="E884" s="158"/>
      <c r="F884" s="129"/>
    </row>
    <row r="885" spans="1:6" ht="12" customHeight="1">
      <c r="A885" s="423">
        <v>5.97</v>
      </c>
      <c r="B885" s="629">
        <v>0.16520000000000001</v>
      </c>
      <c r="D885" s="157"/>
      <c r="E885" s="158"/>
      <c r="F885" s="129"/>
    </row>
    <row r="886" spans="1:6" ht="12" customHeight="1">
      <c r="A886" s="423">
        <v>5.98</v>
      </c>
      <c r="B886" s="629">
        <v>0.1651</v>
      </c>
      <c r="D886" s="157"/>
      <c r="E886" s="158"/>
      <c r="F886" s="129"/>
    </row>
    <row r="887" spans="1:6" ht="12" customHeight="1">
      <c r="A887" s="423">
        <v>5.99</v>
      </c>
      <c r="B887" s="629">
        <v>0.16500000000000001</v>
      </c>
      <c r="D887" s="157"/>
      <c r="E887" s="158"/>
      <c r="F887" s="129"/>
    </row>
    <row r="888" spans="1:6" ht="12" customHeight="1">
      <c r="A888" s="423">
        <v>6</v>
      </c>
      <c r="B888" s="629">
        <v>0.16500000000000001</v>
      </c>
      <c r="D888" s="157"/>
      <c r="E888" s="158"/>
      <c r="F888" s="129"/>
    </row>
    <row r="889" spans="1:6" ht="12" customHeight="1">
      <c r="A889" s="423">
        <v>6.01</v>
      </c>
      <c r="B889" s="629">
        <v>0.16489999999999999</v>
      </c>
      <c r="D889" s="157"/>
      <c r="E889" s="158"/>
      <c r="F889" s="129"/>
    </row>
    <row r="890" spans="1:6" ht="12" customHeight="1">
      <c r="A890" s="423">
        <v>6.02</v>
      </c>
      <c r="B890" s="629">
        <v>0.16489999999999999</v>
      </c>
      <c r="D890" s="157"/>
      <c r="E890" s="158"/>
      <c r="F890" s="129"/>
    </row>
    <row r="891" spans="1:6" ht="12" customHeight="1">
      <c r="A891" s="423">
        <v>6.03</v>
      </c>
      <c r="B891" s="629">
        <v>0.1648</v>
      </c>
      <c r="D891" s="157"/>
      <c r="E891" s="158"/>
      <c r="F891" s="129"/>
    </row>
    <row r="892" spans="1:6" ht="12" customHeight="1">
      <c r="A892" s="423">
        <v>6.04</v>
      </c>
      <c r="B892" s="629">
        <v>0.16470000000000001</v>
      </c>
      <c r="D892" s="157"/>
      <c r="E892" s="158"/>
      <c r="F892" s="129"/>
    </row>
    <row r="893" spans="1:6" ht="12" customHeight="1">
      <c r="A893" s="423">
        <v>6.05</v>
      </c>
      <c r="B893" s="629">
        <v>0.16470000000000001</v>
      </c>
      <c r="D893" s="157"/>
      <c r="E893" s="158"/>
      <c r="F893" s="129"/>
    </row>
    <row r="894" spans="1:6" ht="12" customHeight="1">
      <c r="A894" s="423">
        <v>6.06</v>
      </c>
      <c r="B894" s="629">
        <v>0.1646</v>
      </c>
      <c r="D894" s="157"/>
      <c r="E894" s="158"/>
      <c r="F894" s="129"/>
    </row>
    <row r="895" spans="1:6" ht="12" customHeight="1">
      <c r="A895" s="423">
        <v>6.07</v>
      </c>
      <c r="B895" s="629">
        <v>0.1646</v>
      </c>
      <c r="D895" s="157"/>
      <c r="E895" s="158"/>
      <c r="F895" s="129"/>
    </row>
    <row r="896" spans="1:6" ht="12" customHeight="1">
      <c r="A896" s="423">
        <v>6.08</v>
      </c>
      <c r="B896" s="629">
        <v>0.16450000000000001</v>
      </c>
      <c r="D896" s="157"/>
      <c r="E896" s="158"/>
      <c r="F896" s="129"/>
    </row>
    <row r="897" spans="1:6" ht="12" customHeight="1">
      <c r="A897" s="423">
        <v>6.09</v>
      </c>
      <c r="B897" s="629">
        <v>0.16439999999999999</v>
      </c>
      <c r="D897" s="157"/>
      <c r="E897" s="158"/>
      <c r="F897" s="129"/>
    </row>
    <row r="898" spans="1:6" ht="12" customHeight="1">
      <c r="A898" s="423">
        <v>6.1</v>
      </c>
      <c r="B898" s="629">
        <v>0.16439999999999999</v>
      </c>
      <c r="D898" s="157"/>
      <c r="E898" s="158"/>
      <c r="F898" s="129"/>
    </row>
    <row r="899" spans="1:6" ht="12" customHeight="1">
      <c r="A899" s="423">
        <v>6.11</v>
      </c>
      <c r="B899" s="629">
        <v>0.1643</v>
      </c>
      <c r="D899" s="157"/>
      <c r="E899" s="158"/>
      <c r="F899" s="129"/>
    </row>
    <row r="900" spans="1:6" ht="12" customHeight="1">
      <c r="A900" s="423">
        <v>6.12</v>
      </c>
      <c r="B900" s="629">
        <v>0.1643</v>
      </c>
      <c r="D900" s="157"/>
      <c r="E900" s="158"/>
      <c r="F900" s="129"/>
    </row>
    <row r="901" spans="1:6" ht="12" customHeight="1">
      <c r="A901" s="423">
        <v>6.13</v>
      </c>
      <c r="B901" s="629">
        <v>0.16420000000000001</v>
      </c>
      <c r="D901" s="157"/>
      <c r="E901" s="158"/>
      <c r="F901" s="129"/>
    </row>
    <row r="902" spans="1:6" ht="12" customHeight="1">
      <c r="A902" s="423">
        <v>6.14</v>
      </c>
      <c r="B902" s="629">
        <v>0.1641</v>
      </c>
      <c r="D902" s="157"/>
      <c r="E902" s="158"/>
      <c r="F902" s="129"/>
    </row>
    <row r="903" spans="1:6" ht="12" customHeight="1">
      <c r="A903" s="423">
        <v>6.15</v>
      </c>
      <c r="B903" s="629">
        <v>0.1641</v>
      </c>
      <c r="D903" s="157"/>
      <c r="E903" s="158"/>
      <c r="F903" s="129"/>
    </row>
    <row r="904" spans="1:6" ht="12" customHeight="1">
      <c r="A904" s="423">
        <v>6.16</v>
      </c>
      <c r="B904" s="629">
        <v>0.16400000000000001</v>
      </c>
      <c r="D904" s="157"/>
      <c r="E904" s="158"/>
      <c r="F904" s="129"/>
    </row>
    <row r="905" spans="1:6" ht="12" customHeight="1">
      <c r="A905" s="423">
        <v>6.17</v>
      </c>
      <c r="B905" s="629">
        <v>0.16400000000000001</v>
      </c>
      <c r="D905" s="157"/>
      <c r="E905" s="158"/>
      <c r="F905" s="129"/>
    </row>
    <row r="906" spans="1:6" ht="12" customHeight="1">
      <c r="A906" s="423">
        <v>6.18</v>
      </c>
      <c r="B906" s="629">
        <v>0.16389999999999999</v>
      </c>
      <c r="D906" s="157"/>
      <c r="E906" s="158"/>
      <c r="F906" s="129"/>
    </row>
    <row r="907" spans="1:6" ht="12" customHeight="1">
      <c r="A907" s="423">
        <v>6.19</v>
      </c>
      <c r="B907" s="629">
        <v>0.1638</v>
      </c>
      <c r="D907" s="157"/>
      <c r="E907" s="158"/>
      <c r="F907" s="129"/>
    </row>
    <row r="908" spans="1:6" ht="12" customHeight="1">
      <c r="A908" s="423">
        <v>6.2</v>
      </c>
      <c r="B908" s="629">
        <v>0.1638</v>
      </c>
      <c r="D908" s="157"/>
      <c r="E908" s="158"/>
      <c r="F908" s="129"/>
    </row>
    <row r="909" spans="1:6" ht="12" customHeight="1">
      <c r="A909" s="423">
        <v>6.21</v>
      </c>
      <c r="B909" s="629">
        <v>0.16370000000000001</v>
      </c>
      <c r="D909" s="157"/>
      <c r="E909" s="158"/>
      <c r="F909" s="129"/>
    </row>
    <row r="910" spans="1:6" ht="12" customHeight="1">
      <c r="A910" s="423">
        <v>6.22</v>
      </c>
      <c r="B910" s="629">
        <v>0.16370000000000001</v>
      </c>
      <c r="D910" s="157"/>
      <c r="E910" s="158"/>
      <c r="F910" s="129"/>
    </row>
    <row r="911" spans="1:6" ht="12" customHeight="1">
      <c r="A911" s="423">
        <v>6.23</v>
      </c>
      <c r="B911" s="629">
        <v>0.1636</v>
      </c>
      <c r="D911" s="157"/>
      <c r="E911" s="158"/>
      <c r="F911" s="129"/>
    </row>
    <row r="912" spans="1:6" ht="12" customHeight="1">
      <c r="A912" s="423">
        <v>6.24</v>
      </c>
      <c r="B912" s="629">
        <v>0.1636</v>
      </c>
      <c r="D912" s="157"/>
      <c r="E912" s="158"/>
      <c r="F912" s="129"/>
    </row>
    <row r="913" spans="1:6" ht="12" customHeight="1">
      <c r="A913" s="423">
        <v>6.25</v>
      </c>
      <c r="B913" s="629">
        <v>0.16350000000000001</v>
      </c>
      <c r="D913" s="157"/>
      <c r="E913" s="158"/>
      <c r="F913" s="129"/>
    </row>
    <row r="914" spans="1:6" ht="12" customHeight="1">
      <c r="A914" s="423">
        <v>6.26</v>
      </c>
      <c r="B914" s="629">
        <v>0.16339999999999999</v>
      </c>
      <c r="D914" s="157"/>
      <c r="E914" s="158"/>
      <c r="F914" s="129"/>
    </row>
    <row r="915" spans="1:6" ht="12" customHeight="1">
      <c r="A915" s="423">
        <v>6.27</v>
      </c>
      <c r="B915" s="629">
        <v>0.16339999999999999</v>
      </c>
      <c r="D915" s="157"/>
      <c r="E915" s="158"/>
      <c r="F915" s="129"/>
    </row>
    <row r="916" spans="1:6" ht="12" customHeight="1">
      <c r="A916" s="423">
        <v>6.28</v>
      </c>
      <c r="B916" s="629">
        <v>0.1633</v>
      </c>
      <c r="D916" s="157"/>
      <c r="E916" s="158"/>
      <c r="F916" s="129"/>
    </row>
    <row r="917" spans="1:6" ht="12" customHeight="1">
      <c r="A917" s="423">
        <v>6.29</v>
      </c>
      <c r="B917" s="629">
        <v>0.1633</v>
      </c>
      <c r="D917" s="157"/>
      <c r="E917" s="158"/>
      <c r="F917" s="129"/>
    </row>
    <row r="918" spans="1:6" ht="12" customHeight="1">
      <c r="A918" s="423">
        <v>6.3</v>
      </c>
      <c r="B918" s="629">
        <v>0.16320000000000001</v>
      </c>
      <c r="D918" s="157"/>
      <c r="E918" s="158"/>
      <c r="F918" s="129"/>
    </row>
    <row r="919" spans="1:6" ht="12" customHeight="1">
      <c r="A919" s="423">
        <v>6.31</v>
      </c>
      <c r="B919" s="629">
        <v>0.16320000000000001</v>
      </c>
      <c r="D919" s="157"/>
      <c r="E919" s="158"/>
      <c r="F919" s="129"/>
    </row>
    <row r="920" spans="1:6" ht="12" customHeight="1">
      <c r="A920" s="423">
        <v>6.32</v>
      </c>
      <c r="B920" s="629">
        <v>0.16309999999999999</v>
      </c>
      <c r="D920" s="157"/>
      <c r="E920" s="158"/>
      <c r="F920" s="129"/>
    </row>
    <row r="921" spans="1:6" ht="12" customHeight="1">
      <c r="A921" s="423">
        <v>6.33</v>
      </c>
      <c r="B921" s="629">
        <v>0.16300000000000001</v>
      </c>
      <c r="D921" s="157"/>
      <c r="E921" s="158"/>
      <c r="F921" s="129"/>
    </row>
    <row r="922" spans="1:6" ht="12" customHeight="1">
      <c r="A922" s="423">
        <v>6.34</v>
      </c>
      <c r="B922" s="629">
        <v>0.16300000000000001</v>
      </c>
      <c r="D922" s="157"/>
      <c r="E922" s="158"/>
      <c r="F922" s="129"/>
    </row>
    <row r="923" spans="1:6" ht="12" customHeight="1">
      <c r="A923" s="423">
        <v>6.35</v>
      </c>
      <c r="B923" s="629">
        <v>0.16289999999999999</v>
      </c>
      <c r="D923" s="157"/>
      <c r="E923" s="158"/>
      <c r="F923" s="129"/>
    </row>
    <row r="924" spans="1:6" ht="12" customHeight="1">
      <c r="A924" s="423">
        <v>6.36</v>
      </c>
      <c r="B924" s="629">
        <v>0.16289999999999999</v>
      </c>
      <c r="D924" s="157"/>
      <c r="E924" s="158"/>
      <c r="F924" s="129"/>
    </row>
    <row r="925" spans="1:6" ht="12" customHeight="1">
      <c r="A925" s="423">
        <v>6.37</v>
      </c>
      <c r="B925" s="629">
        <v>0.1628</v>
      </c>
      <c r="D925" s="157"/>
      <c r="E925" s="158"/>
      <c r="F925" s="129"/>
    </row>
    <row r="926" spans="1:6" ht="12" customHeight="1">
      <c r="A926" s="423">
        <v>6.38</v>
      </c>
      <c r="B926" s="629">
        <v>0.1628</v>
      </c>
      <c r="D926" s="157"/>
      <c r="E926" s="158"/>
      <c r="F926" s="129"/>
    </row>
    <row r="927" spans="1:6" ht="12" customHeight="1">
      <c r="A927" s="423">
        <v>6.39</v>
      </c>
      <c r="B927" s="629">
        <v>0.16270000000000001</v>
      </c>
      <c r="D927" s="157"/>
      <c r="E927" s="158"/>
      <c r="F927" s="129"/>
    </row>
    <row r="928" spans="1:6" ht="12" customHeight="1">
      <c r="A928" s="423">
        <v>6.4</v>
      </c>
      <c r="B928" s="629">
        <v>0.16270000000000001</v>
      </c>
      <c r="D928" s="157"/>
      <c r="E928" s="158"/>
      <c r="F928" s="129"/>
    </row>
    <row r="929" spans="1:6" ht="12" customHeight="1">
      <c r="A929" s="423">
        <v>6.41</v>
      </c>
      <c r="B929" s="629">
        <v>0.16259999999999999</v>
      </c>
      <c r="D929" s="157"/>
      <c r="E929" s="158"/>
      <c r="F929" s="129"/>
    </row>
    <row r="930" spans="1:6" ht="12" customHeight="1">
      <c r="A930" s="423">
        <v>6.42</v>
      </c>
      <c r="B930" s="629">
        <v>0.16250000000000001</v>
      </c>
      <c r="D930" s="157"/>
      <c r="E930" s="158"/>
      <c r="F930" s="129"/>
    </row>
    <row r="931" spans="1:6" ht="12" customHeight="1">
      <c r="A931" s="423">
        <v>6.43</v>
      </c>
      <c r="B931" s="629">
        <v>0.16250000000000001</v>
      </c>
      <c r="D931" s="157"/>
      <c r="E931" s="158"/>
      <c r="F931" s="129"/>
    </row>
    <row r="932" spans="1:6" ht="12" customHeight="1">
      <c r="A932" s="423">
        <v>6.44</v>
      </c>
      <c r="B932" s="629">
        <v>0.16239999999999999</v>
      </c>
      <c r="D932" s="157"/>
      <c r="E932" s="158"/>
      <c r="F932" s="129"/>
    </row>
    <row r="933" spans="1:6" ht="12" customHeight="1">
      <c r="A933" s="423">
        <v>6.45</v>
      </c>
      <c r="B933" s="629">
        <v>0.16239999999999999</v>
      </c>
      <c r="D933" s="157"/>
      <c r="E933" s="158"/>
      <c r="F933" s="129"/>
    </row>
    <row r="934" spans="1:6" ht="12" customHeight="1">
      <c r="A934" s="423">
        <v>6.46</v>
      </c>
      <c r="B934" s="629">
        <v>0.1623</v>
      </c>
      <c r="D934" s="157"/>
      <c r="E934" s="158"/>
      <c r="F934" s="129"/>
    </row>
    <row r="935" spans="1:6" ht="12" customHeight="1">
      <c r="A935" s="423">
        <v>6.47</v>
      </c>
      <c r="B935" s="629">
        <v>0.1623</v>
      </c>
      <c r="D935" s="157"/>
      <c r="E935" s="158"/>
      <c r="F935" s="129"/>
    </row>
    <row r="936" spans="1:6" ht="12" customHeight="1">
      <c r="A936" s="423">
        <v>6.48</v>
      </c>
      <c r="B936" s="629">
        <v>0.16220000000000001</v>
      </c>
      <c r="D936" s="157"/>
      <c r="E936" s="158"/>
      <c r="F936" s="129"/>
    </row>
    <row r="937" spans="1:6" ht="12" customHeight="1">
      <c r="A937" s="423">
        <v>6.49</v>
      </c>
      <c r="B937" s="629">
        <v>0.16220000000000001</v>
      </c>
      <c r="D937" s="157"/>
      <c r="E937" s="158"/>
      <c r="F937" s="129"/>
    </row>
    <row r="938" spans="1:6" ht="12" customHeight="1">
      <c r="A938" s="423">
        <v>6.5</v>
      </c>
      <c r="B938" s="629">
        <v>0.16209999999999999</v>
      </c>
      <c r="D938" s="157"/>
      <c r="E938" s="158"/>
      <c r="F938" s="129"/>
    </row>
    <row r="939" spans="1:6" ht="12" customHeight="1">
      <c r="A939" s="423">
        <v>6.51</v>
      </c>
      <c r="B939" s="629">
        <v>0.16209999999999999</v>
      </c>
      <c r="D939" s="157"/>
      <c r="E939" s="158"/>
      <c r="F939" s="129"/>
    </row>
    <row r="940" spans="1:6" ht="12" customHeight="1">
      <c r="A940" s="423">
        <v>6.52</v>
      </c>
      <c r="B940" s="629">
        <v>0.16200000000000001</v>
      </c>
      <c r="D940" s="157"/>
      <c r="E940" s="158"/>
      <c r="F940" s="129"/>
    </row>
    <row r="941" spans="1:6" ht="12" customHeight="1">
      <c r="A941" s="423">
        <v>6.53</v>
      </c>
      <c r="B941" s="629">
        <v>0.16189999999999999</v>
      </c>
      <c r="D941" s="157"/>
      <c r="E941" s="158"/>
      <c r="F941" s="129"/>
    </row>
    <row r="942" spans="1:6" ht="12" customHeight="1">
      <c r="A942" s="423">
        <v>6.54</v>
      </c>
      <c r="B942" s="629">
        <v>0.16189999999999999</v>
      </c>
      <c r="D942" s="157"/>
      <c r="E942" s="158"/>
      <c r="F942" s="129"/>
    </row>
    <row r="943" spans="1:6" ht="12" customHeight="1">
      <c r="A943" s="423">
        <v>6.55</v>
      </c>
      <c r="B943" s="629">
        <v>0.1618</v>
      </c>
      <c r="D943" s="157"/>
      <c r="E943" s="158"/>
      <c r="F943" s="129"/>
    </row>
    <row r="944" spans="1:6" ht="12" customHeight="1">
      <c r="A944" s="423">
        <v>6.56</v>
      </c>
      <c r="B944" s="629">
        <v>0.1618</v>
      </c>
      <c r="D944" s="157"/>
      <c r="E944" s="158"/>
      <c r="F944" s="129"/>
    </row>
    <row r="945" spans="1:6" ht="12" customHeight="1">
      <c r="A945" s="423">
        <v>6.57</v>
      </c>
      <c r="B945" s="629">
        <v>0.16170000000000001</v>
      </c>
      <c r="D945" s="157"/>
      <c r="E945" s="158"/>
      <c r="F945" s="129"/>
    </row>
    <row r="946" spans="1:6" ht="12" customHeight="1">
      <c r="A946" s="423">
        <v>6.58</v>
      </c>
      <c r="B946" s="629">
        <v>0.16170000000000001</v>
      </c>
      <c r="D946" s="157"/>
      <c r="E946" s="158"/>
      <c r="F946" s="129"/>
    </row>
    <row r="947" spans="1:6" ht="12" customHeight="1">
      <c r="A947" s="423">
        <v>6.59</v>
      </c>
      <c r="B947" s="629">
        <v>0.16159999999999999</v>
      </c>
      <c r="D947" s="157"/>
      <c r="E947" s="158"/>
      <c r="F947" s="129"/>
    </row>
    <row r="948" spans="1:6" ht="12" customHeight="1">
      <c r="A948" s="423">
        <v>6.6</v>
      </c>
      <c r="B948" s="629">
        <v>0.16159999999999999</v>
      </c>
      <c r="D948" s="157"/>
      <c r="E948" s="158"/>
      <c r="F948" s="129"/>
    </row>
    <row r="949" spans="1:6" ht="12" customHeight="1">
      <c r="A949" s="423">
        <v>6.61</v>
      </c>
      <c r="B949" s="629">
        <v>0.1615</v>
      </c>
      <c r="D949" s="157"/>
      <c r="E949" s="158"/>
      <c r="F949" s="129"/>
    </row>
    <row r="950" spans="1:6" ht="12" customHeight="1">
      <c r="A950" s="423">
        <v>6.62</v>
      </c>
      <c r="B950" s="629">
        <v>0.1615</v>
      </c>
      <c r="D950" s="157"/>
      <c r="E950" s="158"/>
      <c r="F950" s="129"/>
    </row>
    <row r="951" spans="1:6" ht="12" customHeight="1">
      <c r="A951" s="423">
        <v>6.63</v>
      </c>
      <c r="B951" s="629">
        <v>0.16139999999999999</v>
      </c>
      <c r="D951" s="157"/>
      <c r="E951" s="158"/>
      <c r="F951" s="129"/>
    </row>
    <row r="952" spans="1:6" ht="12" customHeight="1">
      <c r="A952" s="423">
        <v>6.64</v>
      </c>
      <c r="B952" s="629">
        <v>0.1613</v>
      </c>
      <c r="D952" s="157"/>
      <c r="E952" s="158"/>
      <c r="F952" s="129"/>
    </row>
    <row r="953" spans="1:6" ht="12" customHeight="1">
      <c r="A953" s="423">
        <v>6.65</v>
      </c>
      <c r="B953" s="629">
        <v>0.1613</v>
      </c>
      <c r="D953" s="157"/>
      <c r="E953" s="158"/>
      <c r="F953" s="129"/>
    </row>
    <row r="954" spans="1:6" ht="12" customHeight="1">
      <c r="A954" s="423">
        <v>6.66</v>
      </c>
      <c r="B954" s="629">
        <v>0.16120000000000001</v>
      </c>
      <c r="D954" s="157"/>
      <c r="E954" s="158"/>
      <c r="F954" s="129"/>
    </row>
    <row r="955" spans="1:6" ht="12" customHeight="1">
      <c r="A955" s="423">
        <v>6.67</v>
      </c>
      <c r="B955" s="629">
        <v>0.16120000000000001</v>
      </c>
      <c r="D955" s="157"/>
      <c r="E955" s="158"/>
      <c r="F955" s="129"/>
    </row>
    <row r="956" spans="1:6" ht="12" customHeight="1">
      <c r="A956" s="423">
        <v>6.68</v>
      </c>
      <c r="B956" s="629">
        <v>0.16109999999999999</v>
      </c>
      <c r="D956" s="157"/>
      <c r="E956" s="158"/>
      <c r="F956" s="129"/>
    </row>
    <row r="957" spans="1:6" ht="12" customHeight="1">
      <c r="A957" s="423">
        <v>6.69</v>
      </c>
      <c r="B957" s="629">
        <v>0.16109999999999999</v>
      </c>
      <c r="D957" s="157"/>
      <c r="E957" s="158"/>
      <c r="F957" s="129"/>
    </row>
    <row r="958" spans="1:6" ht="12" customHeight="1">
      <c r="A958" s="423">
        <v>6.7</v>
      </c>
      <c r="B958" s="629">
        <v>0.161</v>
      </c>
      <c r="D958" s="157"/>
      <c r="E958" s="158"/>
      <c r="F958" s="129"/>
    </row>
    <row r="959" spans="1:6" ht="12" customHeight="1">
      <c r="A959" s="423">
        <v>6.71</v>
      </c>
      <c r="B959" s="629">
        <v>0.161</v>
      </c>
      <c r="D959" s="157"/>
      <c r="E959" s="158"/>
      <c r="F959" s="129"/>
    </row>
    <row r="960" spans="1:6" ht="12" customHeight="1">
      <c r="A960" s="423">
        <v>6.72</v>
      </c>
      <c r="B960" s="629">
        <v>0.16089999999999999</v>
      </c>
      <c r="D960" s="157"/>
      <c r="E960" s="158"/>
      <c r="F960" s="129"/>
    </row>
    <row r="961" spans="1:6" ht="12" customHeight="1">
      <c r="A961" s="423">
        <v>6.73</v>
      </c>
      <c r="B961" s="629">
        <v>0.16089999999999999</v>
      </c>
      <c r="D961" s="157"/>
      <c r="E961" s="158"/>
      <c r="F961" s="129"/>
    </row>
    <row r="962" spans="1:6" ht="12" customHeight="1">
      <c r="A962" s="423">
        <v>6.74</v>
      </c>
      <c r="B962" s="629">
        <v>0.1608</v>
      </c>
      <c r="D962" s="157"/>
      <c r="E962" s="158"/>
      <c r="F962" s="129"/>
    </row>
    <row r="963" spans="1:6" ht="12" customHeight="1">
      <c r="A963" s="423">
        <v>6.75</v>
      </c>
      <c r="B963" s="629">
        <v>0.1608</v>
      </c>
      <c r="D963" s="157"/>
      <c r="E963" s="158"/>
      <c r="F963" s="129"/>
    </row>
    <row r="964" spans="1:6" ht="12" customHeight="1">
      <c r="A964" s="423">
        <v>6.76</v>
      </c>
      <c r="B964" s="629">
        <v>0.16070000000000001</v>
      </c>
      <c r="D964" s="157"/>
      <c r="E964" s="158"/>
      <c r="F964" s="129"/>
    </row>
    <row r="965" spans="1:6" ht="12" customHeight="1">
      <c r="A965" s="423">
        <v>6.77</v>
      </c>
      <c r="B965" s="629">
        <v>0.16070000000000001</v>
      </c>
      <c r="D965" s="157"/>
      <c r="E965" s="158"/>
      <c r="F965" s="129"/>
    </row>
    <row r="966" spans="1:6" ht="12" customHeight="1">
      <c r="A966" s="423">
        <v>6.78</v>
      </c>
      <c r="B966" s="629">
        <v>0.16059999999999999</v>
      </c>
      <c r="D966" s="157"/>
      <c r="E966" s="158"/>
      <c r="F966" s="129"/>
    </row>
    <row r="967" spans="1:6" ht="12" customHeight="1">
      <c r="A967" s="423">
        <v>6.79</v>
      </c>
      <c r="B967" s="629">
        <v>0.16059999999999999</v>
      </c>
      <c r="D967" s="157"/>
      <c r="E967" s="158"/>
      <c r="F967" s="129"/>
    </row>
    <row r="968" spans="1:6" ht="12" customHeight="1">
      <c r="A968" s="423">
        <v>6.8</v>
      </c>
      <c r="B968" s="629">
        <v>0.1605</v>
      </c>
      <c r="D968" s="157"/>
      <c r="E968" s="158"/>
      <c r="F968" s="129"/>
    </row>
    <row r="969" spans="1:6" ht="12" customHeight="1">
      <c r="A969" s="423">
        <v>6.81</v>
      </c>
      <c r="B969" s="629">
        <v>0.1605</v>
      </c>
      <c r="D969" s="157"/>
      <c r="E969" s="158"/>
      <c r="F969" s="129"/>
    </row>
    <row r="970" spans="1:6" ht="12" customHeight="1">
      <c r="A970" s="423">
        <v>6.82</v>
      </c>
      <c r="B970" s="629">
        <v>0.16039999999999999</v>
      </c>
      <c r="D970" s="157"/>
      <c r="E970" s="158"/>
      <c r="F970" s="129"/>
    </row>
    <row r="971" spans="1:6" ht="12" customHeight="1">
      <c r="A971" s="423">
        <v>6.83</v>
      </c>
      <c r="B971" s="629">
        <v>0.16039999999999999</v>
      </c>
      <c r="D971" s="157"/>
      <c r="E971" s="158"/>
      <c r="F971" s="129"/>
    </row>
    <row r="972" spans="1:6" ht="12" customHeight="1">
      <c r="A972" s="423">
        <v>6.84</v>
      </c>
      <c r="B972" s="629">
        <v>0.1603</v>
      </c>
      <c r="D972" s="157"/>
      <c r="E972" s="158"/>
      <c r="F972" s="129"/>
    </row>
    <row r="973" spans="1:6" ht="12" customHeight="1">
      <c r="A973" s="423">
        <v>6.85</v>
      </c>
      <c r="B973" s="629">
        <v>0.1603</v>
      </c>
      <c r="D973" s="157"/>
      <c r="E973" s="158"/>
      <c r="F973" s="129"/>
    </row>
    <row r="974" spans="1:6" ht="12" customHeight="1">
      <c r="A974" s="423">
        <v>6.86</v>
      </c>
      <c r="B974" s="629">
        <v>0.16020000000000001</v>
      </c>
      <c r="D974" s="157"/>
      <c r="E974" s="158"/>
      <c r="F974" s="129"/>
    </row>
    <row r="975" spans="1:6" ht="12" customHeight="1">
      <c r="A975" s="423">
        <v>6.87</v>
      </c>
      <c r="B975" s="629">
        <v>0.16020000000000001</v>
      </c>
      <c r="D975" s="157"/>
      <c r="E975" s="158"/>
      <c r="F975" s="129"/>
    </row>
    <row r="976" spans="1:6" ht="12" customHeight="1">
      <c r="A976" s="423">
        <v>6.88</v>
      </c>
      <c r="B976" s="629">
        <v>0.16009999999999999</v>
      </c>
      <c r="D976" s="157"/>
      <c r="E976" s="158"/>
      <c r="F976" s="129"/>
    </row>
    <row r="977" spans="1:6" ht="12" customHeight="1">
      <c r="A977" s="423">
        <v>6.89</v>
      </c>
      <c r="B977" s="629">
        <v>0.16009999999999999</v>
      </c>
      <c r="D977" s="157"/>
      <c r="E977" s="158"/>
      <c r="F977" s="129"/>
    </row>
    <row r="978" spans="1:6" ht="12" customHeight="1">
      <c r="A978" s="423">
        <v>6.9</v>
      </c>
      <c r="B978" s="629">
        <v>0.16</v>
      </c>
      <c r="D978" s="157"/>
      <c r="E978" s="158"/>
      <c r="F978" s="129"/>
    </row>
    <row r="979" spans="1:6" ht="12" customHeight="1">
      <c r="A979" s="423">
        <v>6.91</v>
      </c>
      <c r="B979" s="629">
        <v>0.15989999999999999</v>
      </c>
      <c r="D979" s="157"/>
      <c r="E979" s="158"/>
      <c r="F979" s="129"/>
    </row>
    <row r="980" spans="1:6" ht="12" customHeight="1">
      <c r="A980" s="423">
        <v>6.92</v>
      </c>
      <c r="B980" s="629">
        <v>0.15989999999999999</v>
      </c>
      <c r="D980" s="157"/>
      <c r="E980" s="158"/>
      <c r="F980" s="129"/>
    </row>
    <row r="981" spans="1:6" ht="12" customHeight="1">
      <c r="A981" s="423">
        <v>6.93</v>
      </c>
      <c r="B981" s="629">
        <v>0.1598</v>
      </c>
      <c r="D981" s="157"/>
      <c r="E981" s="158"/>
      <c r="F981" s="129"/>
    </row>
    <row r="982" spans="1:6" ht="12" customHeight="1">
      <c r="A982" s="423">
        <v>6.94</v>
      </c>
      <c r="B982" s="629">
        <v>0.1598</v>
      </c>
      <c r="D982" s="157"/>
      <c r="E982" s="158"/>
      <c r="F982" s="129"/>
    </row>
    <row r="983" spans="1:6" ht="12" customHeight="1">
      <c r="A983" s="423">
        <v>6.95</v>
      </c>
      <c r="B983" s="629">
        <v>0.15970000000000001</v>
      </c>
      <c r="D983" s="157"/>
      <c r="E983" s="158"/>
      <c r="F983" s="129"/>
    </row>
    <row r="984" spans="1:6" ht="12" customHeight="1">
      <c r="A984" s="423">
        <v>6.96</v>
      </c>
      <c r="B984" s="629">
        <v>0.15970000000000001</v>
      </c>
      <c r="D984" s="157"/>
      <c r="E984" s="158"/>
      <c r="F984" s="129"/>
    </row>
    <row r="985" spans="1:6" ht="12" customHeight="1">
      <c r="A985" s="423">
        <v>6.97</v>
      </c>
      <c r="B985" s="629">
        <v>0.15959999999999999</v>
      </c>
      <c r="D985" s="157"/>
      <c r="E985" s="158"/>
      <c r="F985" s="129"/>
    </row>
    <row r="986" spans="1:6" ht="12" customHeight="1">
      <c r="A986" s="423">
        <v>6.98</v>
      </c>
      <c r="B986" s="629">
        <v>0.15959999999999999</v>
      </c>
      <c r="D986" s="157"/>
      <c r="E986" s="158"/>
      <c r="F986" s="129"/>
    </row>
    <row r="987" spans="1:6" ht="12" customHeight="1">
      <c r="A987" s="423">
        <v>6.99</v>
      </c>
      <c r="B987" s="629">
        <v>0.1595</v>
      </c>
      <c r="D987" s="157"/>
      <c r="E987" s="158"/>
      <c r="F987" s="129"/>
    </row>
    <row r="988" spans="1:6" ht="12" customHeight="1">
      <c r="A988" s="423">
        <v>7</v>
      </c>
      <c r="B988" s="629">
        <v>0.1595</v>
      </c>
      <c r="D988" s="157"/>
      <c r="E988" s="158"/>
      <c r="F988" s="129"/>
    </row>
    <row r="989" spans="1:6" ht="12" customHeight="1">
      <c r="A989" s="423">
        <v>7.01</v>
      </c>
      <c r="B989" s="629">
        <v>0.15939999999999999</v>
      </c>
      <c r="D989" s="157"/>
      <c r="E989" s="158"/>
      <c r="F989" s="129"/>
    </row>
    <row r="990" spans="1:6" ht="12" customHeight="1">
      <c r="A990" s="423">
        <v>7.02</v>
      </c>
      <c r="B990" s="629">
        <v>0.15939999999999999</v>
      </c>
      <c r="D990" s="157"/>
      <c r="E990" s="158"/>
      <c r="F990" s="129"/>
    </row>
    <row r="991" spans="1:6" ht="12" customHeight="1">
      <c r="A991" s="423">
        <v>7.03</v>
      </c>
      <c r="B991" s="629">
        <v>0.1593</v>
      </c>
      <c r="D991" s="157"/>
      <c r="E991" s="158"/>
      <c r="F991" s="129"/>
    </row>
    <row r="992" spans="1:6" ht="12" customHeight="1">
      <c r="A992" s="423">
        <v>7.04</v>
      </c>
      <c r="B992" s="629">
        <v>0.1593</v>
      </c>
      <c r="D992" s="157"/>
      <c r="E992" s="158"/>
      <c r="F992" s="129"/>
    </row>
    <row r="993" spans="1:6" ht="12" customHeight="1">
      <c r="A993" s="423">
        <v>7.05</v>
      </c>
      <c r="B993" s="629">
        <v>0.15920000000000001</v>
      </c>
      <c r="D993" s="157"/>
      <c r="E993" s="158"/>
      <c r="F993" s="129"/>
    </row>
    <row r="994" spans="1:6" ht="12" customHeight="1">
      <c r="A994" s="423">
        <v>7.06</v>
      </c>
      <c r="B994" s="629">
        <v>0.15920000000000001</v>
      </c>
      <c r="D994" s="157"/>
      <c r="E994" s="158"/>
      <c r="F994" s="129"/>
    </row>
    <row r="995" spans="1:6" ht="12" customHeight="1">
      <c r="A995" s="423">
        <v>7.07</v>
      </c>
      <c r="B995" s="629">
        <v>0.15909999999999999</v>
      </c>
      <c r="D995" s="157"/>
      <c r="E995" s="158"/>
      <c r="F995" s="129"/>
    </row>
    <row r="996" spans="1:6" ht="12" customHeight="1">
      <c r="A996" s="423">
        <v>7.08</v>
      </c>
      <c r="B996" s="629">
        <v>0.15909999999999999</v>
      </c>
      <c r="D996" s="157"/>
      <c r="E996" s="158"/>
      <c r="F996" s="129"/>
    </row>
    <row r="997" spans="1:6" ht="12" customHeight="1">
      <c r="A997" s="423">
        <v>7.09</v>
      </c>
      <c r="B997" s="629">
        <v>0.15909999999999999</v>
      </c>
      <c r="D997" s="157"/>
      <c r="E997" s="158"/>
      <c r="F997" s="129"/>
    </row>
    <row r="998" spans="1:6" ht="12" customHeight="1">
      <c r="A998" s="423">
        <v>7.1</v>
      </c>
      <c r="B998" s="629">
        <v>0.159</v>
      </c>
      <c r="D998" s="157"/>
      <c r="E998" s="158"/>
      <c r="F998" s="129"/>
    </row>
    <row r="999" spans="1:6" ht="12" customHeight="1">
      <c r="A999" s="423">
        <v>7.11</v>
      </c>
      <c r="B999" s="629">
        <v>0.15890000000000001</v>
      </c>
      <c r="D999" s="157"/>
      <c r="E999" s="158"/>
      <c r="F999" s="129"/>
    </row>
    <row r="1000" spans="1:6" ht="12" customHeight="1">
      <c r="A1000" s="423">
        <v>7.12</v>
      </c>
      <c r="B1000" s="629">
        <v>0.15890000000000001</v>
      </c>
      <c r="D1000" s="157"/>
      <c r="E1000" s="158"/>
      <c r="F1000" s="129"/>
    </row>
    <row r="1001" spans="1:6" ht="12" customHeight="1">
      <c r="A1001" s="423">
        <v>7.13</v>
      </c>
      <c r="B1001" s="629">
        <v>0.15890000000000001</v>
      </c>
      <c r="D1001" s="157"/>
      <c r="E1001" s="158"/>
      <c r="F1001" s="129"/>
    </row>
    <row r="1002" spans="1:6" ht="12" customHeight="1">
      <c r="A1002" s="423">
        <v>7.14</v>
      </c>
      <c r="B1002" s="629">
        <v>0.1588</v>
      </c>
      <c r="D1002" s="157"/>
      <c r="E1002" s="158"/>
      <c r="F1002" s="129"/>
    </row>
    <row r="1003" spans="1:6" ht="12" customHeight="1">
      <c r="A1003" s="423">
        <v>7.15</v>
      </c>
      <c r="B1003" s="629">
        <v>0.1588</v>
      </c>
      <c r="D1003" s="157"/>
      <c r="E1003" s="158"/>
      <c r="F1003" s="129"/>
    </row>
    <row r="1004" spans="1:6" ht="12" customHeight="1">
      <c r="A1004" s="423">
        <v>7.16</v>
      </c>
      <c r="B1004" s="629">
        <v>0.15870000000000001</v>
      </c>
      <c r="D1004" s="157"/>
      <c r="E1004" s="158"/>
      <c r="F1004" s="129"/>
    </row>
    <row r="1005" spans="1:6" ht="12" customHeight="1">
      <c r="A1005" s="423">
        <v>7.17</v>
      </c>
      <c r="B1005" s="629">
        <v>0.15870000000000001</v>
      </c>
      <c r="D1005" s="157"/>
      <c r="E1005" s="158"/>
      <c r="F1005" s="129"/>
    </row>
    <row r="1006" spans="1:6" ht="12" customHeight="1">
      <c r="A1006" s="423">
        <v>7.18</v>
      </c>
      <c r="B1006" s="629">
        <v>0.15859999999999999</v>
      </c>
      <c r="D1006" s="157"/>
      <c r="E1006" s="158"/>
      <c r="F1006" s="129"/>
    </row>
    <row r="1007" spans="1:6" ht="12" customHeight="1">
      <c r="A1007" s="423">
        <v>7.19</v>
      </c>
      <c r="B1007" s="629">
        <v>0.15859999999999999</v>
      </c>
      <c r="D1007" s="157"/>
      <c r="E1007" s="158"/>
      <c r="F1007" s="129"/>
    </row>
    <row r="1008" spans="1:6" ht="12" customHeight="1">
      <c r="A1008" s="423">
        <v>7.2</v>
      </c>
      <c r="B1008" s="629">
        <v>0.1585</v>
      </c>
      <c r="D1008" s="157"/>
      <c r="E1008" s="158"/>
      <c r="F1008" s="129"/>
    </row>
    <row r="1009" spans="1:6" ht="12" customHeight="1">
      <c r="A1009" s="423">
        <v>7.21</v>
      </c>
      <c r="B1009" s="629">
        <v>0.1585</v>
      </c>
      <c r="D1009" s="157"/>
      <c r="E1009" s="158"/>
      <c r="F1009" s="129"/>
    </row>
    <row r="1010" spans="1:6" ht="12" customHeight="1">
      <c r="A1010" s="423">
        <v>7.22</v>
      </c>
      <c r="B1010" s="629">
        <v>0.15840000000000001</v>
      </c>
      <c r="D1010" s="157"/>
      <c r="E1010" s="158"/>
      <c r="F1010" s="129"/>
    </row>
    <row r="1011" spans="1:6" ht="12" customHeight="1">
      <c r="A1011" s="423">
        <v>7.23</v>
      </c>
      <c r="B1011" s="629">
        <v>0.15840000000000001</v>
      </c>
      <c r="D1011" s="157"/>
      <c r="E1011" s="158"/>
      <c r="F1011" s="129"/>
    </row>
    <row r="1012" spans="1:6" ht="12" customHeight="1">
      <c r="A1012" s="423">
        <v>7.24</v>
      </c>
      <c r="B1012" s="629">
        <v>0.1583</v>
      </c>
      <c r="D1012" s="157"/>
      <c r="E1012" s="158"/>
      <c r="F1012" s="129"/>
    </row>
    <row r="1013" spans="1:6" ht="12" customHeight="1">
      <c r="A1013" s="423">
        <v>7.25</v>
      </c>
      <c r="B1013" s="629">
        <v>0.1583</v>
      </c>
      <c r="D1013" s="157"/>
      <c r="E1013" s="158"/>
      <c r="F1013" s="129"/>
    </row>
    <row r="1014" spans="1:6" ht="12" customHeight="1">
      <c r="A1014" s="423">
        <v>7.26</v>
      </c>
      <c r="B1014" s="629">
        <v>0.15820000000000001</v>
      </c>
      <c r="D1014" s="157"/>
      <c r="E1014" s="158"/>
      <c r="F1014" s="129"/>
    </row>
    <row r="1015" spans="1:6" ht="12" customHeight="1">
      <c r="A1015" s="423">
        <v>7.27</v>
      </c>
      <c r="B1015" s="629">
        <v>0.15820000000000001</v>
      </c>
      <c r="D1015" s="157"/>
      <c r="E1015" s="158"/>
      <c r="F1015" s="129"/>
    </row>
    <row r="1016" spans="1:6" ht="12" customHeight="1">
      <c r="A1016" s="423">
        <v>7.28</v>
      </c>
      <c r="B1016" s="629">
        <v>0.15809999999999999</v>
      </c>
      <c r="D1016" s="157"/>
      <c r="E1016" s="158"/>
      <c r="F1016" s="129"/>
    </row>
    <row r="1017" spans="1:6" ht="12" customHeight="1">
      <c r="A1017" s="423">
        <v>7.29</v>
      </c>
      <c r="B1017" s="629">
        <v>0.15809999999999999</v>
      </c>
      <c r="D1017" s="157"/>
      <c r="E1017" s="158"/>
      <c r="F1017" s="129"/>
    </row>
    <row r="1018" spans="1:6" ht="12" customHeight="1">
      <c r="A1018" s="423">
        <v>7.3</v>
      </c>
      <c r="B1018" s="629">
        <v>0.158</v>
      </c>
      <c r="D1018" s="157"/>
      <c r="E1018" s="158"/>
      <c r="F1018" s="129"/>
    </row>
    <row r="1019" spans="1:6" ht="12" customHeight="1">
      <c r="A1019" s="423">
        <v>7.31</v>
      </c>
      <c r="B1019" s="629">
        <v>0.158</v>
      </c>
      <c r="D1019" s="157"/>
      <c r="E1019" s="158"/>
      <c r="F1019" s="129"/>
    </row>
    <row r="1020" spans="1:6" ht="12" customHeight="1">
      <c r="A1020" s="423">
        <v>7.32</v>
      </c>
      <c r="B1020" s="629">
        <v>0.15790000000000001</v>
      </c>
      <c r="D1020" s="157"/>
      <c r="E1020" s="158"/>
      <c r="F1020" s="129"/>
    </row>
    <row r="1021" spans="1:6" ht="12" customHeight="1">
      <c r="A1021" s="423">
        <v>7.33</v>
      </c>
      <c r="B1021" s="629">
        <v>0.15790000000000001</v>
      </c>
      <c r="D1021" s="157"/>
      <c r="E1021" s="158"/>
      <c r="F1021" s="129"/>
    </row>
    <row r="1022" spans="1:6" ht="12" customHeight="1">
      <c r="A1022" s="423">
        <v>7.34</v>
      </c>
      <c r="B1022" s="629">
        <v>0.1578</v>
      </c>
      <c r="D1022" s="157"/>
      <c r="E1022" s="158"/>
      <c r="F1022" s="129"/>
    </row>
    <row r="1023" spans="1:6" ht="12" customHeight="1">
      <c r="A1023" s="423">
        <v>7.35</v>
      </c>
      <c r="B1023" s="629">
        <v>0.1578</v>
      </c>
      <c r="D1023" s="157"/>
      <c r="E1023" s="158"/>
      <c r="F1023" s="129"/>
    </row>
    <row r="1024" spans="1:6" ht="12" customHeight="1">
      <c r="A1024" s="423">
        <v>7.36</v>
      </c>
      <c r="B1024" s="629">
        <v>0.1578</v>
      </c>
      <c r="D1024" s="157"/>
      <c r="E1024" s="158"/>
      <c r="F1024" s="129"/>
    </row>
    <row r="1025" spans="1:6" ht="12" customHeight="1">
      <c r="A1025" s="423">
        <v>7.37</v>
      </c>
      <c r="B1025" s="629">
        <v>0.15770000000000001</v>
      </c>
      <c r="D1025" s="157"/>
      <c r="E1025" s="158"/>
      <c r="F1025" s="129"/>
    </row>
    <row r="1026" spans="1:6" ht="12" customHeight="1">
      <c r="A1026" s="423">
        <v>7.38</v>
      </c>
      <c r="B1026" s="629">
        <v>0.15770000000000001</v>
      </c>
      <c r="D1026" s="157"/>
      <c r="E1026" s="158"/>
      <c r="F1026" s="129"/>
    </row>
    <row r="1027" spans="1:6" ht="12" customHeight="1">
      <c r="A1027" s="423">
        <v>7.39</v>
      </c>
      <c r="B1027" s="629">
        <v>0.15759999999999999</v>
      </c>
      <c r="D1027" s="157"/>
      <c r="E1027" s="158"/>
      <c r="F1027" s="129"/>
    </row>
    <row r="1028" spans="1:6" ht="12" customHeight="1">
      <c r="A1028" s="423">
        <v>7.4</v>
      </c>
      <c r="B1028" s="629">
        <v>0.15759999999999999</v>
      </c>
      <c r="D1028" s="157"/>
      <c r="E1028" s="158"/>
      <c r="F1028" s="129"/>
    </row>
    <row r="1029" spans="1:6" ht="12" customHeight="1">
      <c r="A1029" s="423">
        <v>7.41</v>
      </c>
      <c r="B1029" s="629">
        <v>0.1575</v>
      </c>
      <c r="D1029" s="157"/>
      <c r="E1029" s="158"/>
      <c r="F1029" s="129"/>
    </row>
    <row r="1030" spans="1:6" ht="12" customHeight="1">
      <c r="A1030" s="423">
        <v>7.42</v>
      </c>
      <c r="B1030" s="629">
        <v>0.1575</v>
      </c>
      <c r="D1030" s="157"/>
      <c r="E1030" s="158"/>
      <c r="F1030" s="129"/>
    </row>
    <row r="1031" spans="1:6" ht="12" customHeight="1">
      <c r="A1031" s="423">
        <v>7.43</v>
      </c>
      <c r="B1031" s="629">
        <v>0.15740000000000001</v>
      </c>
      <c r="D1031" s="157"/>
      <c r="E1031" s="158"/>
      <c r="F1031" s="129"/>
    </row>
    <row r="1032" spans="1:6" ht="12" customHeight="1">
      <c r="A1032" s="423">
        <v>7.44</v>
      </c>
      <c r="B1032" s="629">
        <v>0.15740000000000001</v>
      </c>
      <c r="D1032" s="157"/>
      <c r="E1032" s="158"/>
      <c r="F1032" s="129"/>
    </row>
    <row r="1033" spans="1:6" ht="12" customHeight="1">
      <c r="A1033" s="423">
        <v>7.45</v>
      </c>
      <c r="B1033" s="629">
        <v>0.1573</v>
      </c>
      <c r="D1033" s="157"/>
      <c r="E1033" s="158"/>
      <c r="F1033" s="129"/>
    </row>
    <row r="1034" spans="1:6" ht="12" customHeight="1">
      <c r="A1034" s="423">
        <v>7.46</v>
      </c>
      <c r="B1034" s="629">
        <v>0.1573</v>
      </c>
      <c r="D1034" s="157"/>
      <c r="E1034" s="158"/>
      <c r="F1034" s="129"/>
    </row>
    <row r="1035" spans="1:6" ht="12" customHeight="1">
      <c r="A1035" s="423">
        <v>7.47</v>
      </c>
      <c r="B1035" s="629">
        <v>0.15720000000000001</v>
      </c>
      <c r="D1035" s="157"/>
      <c r="E1035" s="158"/>
      <c r="F1035" s="129"/>
    </row>
    <row r="1036" spans="1:6" ht="12" customHeight="1">
      <c r="A1036" s="423">
        <v>7.48</v>
      </c>
      <c r="B1036" s="629">
        <v>0.15720000000000001</v>
      </c>
      <c r="D1036" s="157"/>
      <c r="E1036" s="158"/>
      <c r="F1036" s="129"/>
    </row>
    <row r="1037" spans="1:6" ht="12" customHeight="1">
      <c r="A1037" s="423">
        <v>7.49</v>
      </c>
      <c r="B1037" s="629">
        <v>0.15720000000000001</v>
      </c>
      <c r="D1037" s="157"/>
      <c r="E1037" s="158"/>
      <c r="F1037" s="129"/>
    </row>
    <row r="1038" spans="1:6" ht="12" customHeight="1">
      <c r="A1038" s="423">
        <v>7.5</v>
      </c>
      <c r="B1038" s="629">
        <v>0.15709999999999999</v>
      </c>
      <c r="D1038" s="157"/>
      <c r="E1038" s="158"/>
      <c r="F1038" s="129"/>
    </row>
    <row r="1039" spans="1:6" ht="12" customHeight="1">
      <c r="A1039" s="423">
        <v>7.51</v>
      </c>
      <c r="B1039" s="629">
        <v>0.15709999999999999</v>
      </c>
      <c r="D1039" s="157"/>
      <c r="E1039" s="158"/>
      <c r="F1039" s="129"/>
    </row>
    <row r="1040" spans="1:6" ht="12" customHeight="1">
      <c r="A1040" s="423">
        <v>7.52</v>
      </c>
      <c r="B1040" s="629">
        <v>0.157</v>
      </c>
      <c r="D1040" s="157"/>
      <c r="E1040" s="158"/>
      <c r="F1040" s="129"/>
    </row>
    <row r="1041" spans="1:6" ht="12" customHeight="1">
      <c r="A1041" s="423">
        <v>7.53</v>
      </c>
      <c r="B1041" s="629">
        <v>0.157</v>
      </c>
      <c r="D1041" s="157"/>
      <c r="E1041" s="158"/>
      <c r="F1041" s="129"/>
    </row>
    <row r="1042" spans="1:6" ht="12" customHeight="1">
      <c r="A1042" s="423">
        <v>7.54</v>
      </c>
      <c r="B1042" s="629">
        <v>0.15690000000000001</v>
      </c>
      <c r="D1042" s="157"/>
      <c r="E1042" s="158"/>
      <c r="F1042" s="129"/>
    </row>
    <row r="1043" spans="1:6" ht="12" customHeight="1">
      <c r="A1043" s="423">
        <v>7.55</v>
      </c>
      <c r="B1043" s="629">
        <v>0.15690000000000001</v>
      </c>
      <c r="D1043" s="157"/>
      <c r="E1043" s="158"/>
      <c r="F1043" s="129"/>
    </row>
    <row r="1044" spans="1:6" ht="12" customHeight="1">
      <c r="A1044" s="423">
        <v>7.56</v>
      </c>
      <c r="B1044" s="629">
        <v>0.15679999999999999</v>
      </c>
      <c r="D1044" s="157"/>
      <c r="E1044" s="158"/>
      <c r="F1044" s="129"/>
    </row>
    <row r="1045" spans="1:6" ht="12" customHeight="1">
      <c r="A1045" s="423">
        <v>7.57</v>
      </c>
      <c r="B1045" s="629">
        <v>0.15679999999999999</v>
      </c>
      <c r="D1045" s="157"/>
      <c r="E1045" s="158"/>
      <c r="F1045" s="129"/>
    </row>
    <row r="1046" spans="1:6" ht="12" customHeight="1">
      <c r="A1046" s="423">
        <v>7.58</v>
      </c>
      <c r="B1046" s="629">
        <v>0.15670000000000001</v>
      </c>
      <c r="D1046" s="157"/>
      <c r="E1046" s="158"/>
      <c r="F1046" s="129"/>
    </row>
    <row r="1047" spans="1:6" ht="12" customHeight="1">
      <c r="A1047" s="423">
        <v>7.59</v>
      </c>
      <c r="B1047" s="629">
        <v>0.15670000000000001</v>
      </c>
      <c r="D1047" s="157"/>
      <c r="E1047" s="158"/>
      <c r="F1047" s="129"/>
    </row>
    <row r="1048" spans="1:6" ht="12" customHeight="1">
      <c r="A1048" s="423">
        <v>7.6</v>
      </c>
      <c r="B1048" s="629">
        <v>0.15659999999999999</v>
      </c>
      <c r="D1048" s="157"/>
      <c r="E1048" s="158"/>
      <c r="F1048" s="129"/>
    </row>
    <row r="1049" spans="1:6" ht="12" customHeight="1">
      <c r="A1049" s="423">
        <v>7.61</v>
      </c>
      <c r="B1049" s="629">
        <v>0.15659999999999999</v>
      </c>
      <c r="D1049" s="157"/>
      <c r="E1049" s="158"/>
      <c r="F1049" s="129"/>
    </row>
    <row r="1050" spans="1:6" ht="12" customHeight="1">
      <c r="A1050" s="423">
        <v>7.62</v>
      </c>
      <c r="B1050" s="629">
        <v>0.15659999999999999</v>
      </c>
      <c r="D1050" s="157"/>
      <c r="E1050" s="158"/>
      <c r="F1050" s="129"/>
    </row>
    <row r="1051" spans="1:6" ht="12" customHeight="1">
      <c r="A1051" s="423">
        <v>7.63</v>
      </c>
      <c r="B1051" s="629">
        <v>0.1565</v>
      </c>
      <c r="D1051" s="157"/>
      <c r="E1051" s="158"/>
      <c r="F1051" s="129"/>
    </row>
    <row r="1052" spans="1:6" ht="12" customHeight="1">
      <c r="A1052" s="423">
        <v>7.64</v>
      </c>
      <c r="B1052" s="629">
        <v>0.1565</v>
      </c>
      <c r="D1052" s="157"/>
      <c r="E1052" s="158"/>
      <c r="F1052" s="129"/>
    </row>
    <row r="1053" spans="1:6" ht="12" customHeight="1">
      <c r="A1053" s="423">
        <v>7.65</v>
      </c>
      <c r="B1053" s="629">
        <v>0.15640000000000001</v>
      </c>
      <c r="D1053" s="157"/>
      <c r="E1053" s="158"/>
      <c r="F1053" s="129"/>
    </row>
    <row r="1054" spans="1:6" ht="12" customHeight="1">
      <c r="A1054" s="423">
        <v>7.66</v>
      </c>
      <c r="B1054" s="629">
        <v>0.15640000000000001</v>
      </c>
      <c r="D1054" s="157"/>
      <c r="E1054" s="158"/>
      <c r="F1054" s="129"/>
    </row>
    <row r="1055" spans="1:6" ht="12" customHeight="1">
      <c r="A1055" s="423">
        <v>7.67</v>
      </c>
      <c r="B1055" s="629">
        <v>0.15629999999999999</v>
      </c>
      <c r="D1055" s="157"/>
      <c r="E1055" s="158"/>
      <c r="F1055" s="129"/>
    </row>
    <row r="1056" spans="1:6" ht="12" customHeight="1">
      <c r="A1056" s="423">
        <v>7.68</v>
      </c>
      <c r="B1056" s="629">
        <v>0.15629999999999999</v>
      </c>
      <c r="D1056" s="157"/>
      <c r="E1056" s="158"/>
      <c r="F1056" s="129"/>
    </row>
    <row r="1057" spans="1:6" ht="12" customHeight="1">
      <c r="A1057" s="423">
        <v>7.69</v>
      </c>
      <c r="B1057" s="629">
        <v>0.15620000000000001</v>
      </c>
      <c r="D1057" s="157"/>
      <c r="E1057" s="158"/>
      <c r="F1057" s="129"/>
    </row>
    <row r="1058" spans="1:6" ht="12" customHeight="1">
      <c r="A1058" s="423">
        <v>7.7</v>
      </c>
      <c r="B1058" s="629">
        <v>0.15620000000000001</v>
      </c>
      <c r="D1058" s="157"/>
      <c r="E1058" s="158"/>
      <c r="F1058" s="129"/>
    </row>
    <row r="1059" spans="1:6" ht="12" customHeight="1">
      <c r="A1059" s="423">
        <v>7.71</v>
      </c>
      <c r="B1059" s="629">
        <v>0.15620000000000001</v>
      </c>
      <c r="D1059" s="157"/>
      <c r="E1059" s="158"/>
      <c r="F1059" s="129"/>
    </row>
    <row r="1060" spans="1:6" ht="12" customHeight="1">
      <c r="A1060" s="423">
        <v>7.72</v>
      </c>
      <c r="B1060" s="629">
        <v>0.15609999999999999</v>
      </c>
      <c r="D1060" s="157"/>
      <c r="E1060" s="158"/>
      <c r="F1060" s="129"/>
    </row>
    <row r="1061" spans="1:6" ht="12" customHeight="1">
      <c r="A1061" s="423">
        <v>7.73</v>
      </c>
      <c r="B1061" s="629">
        <v>0.15609999999999999</v>
      </c>
      <c r="D1061" s="157"/>
      <c r="E1061" s="158"/>
      <c r="F1061" s="129"/>
    </row>
    <row r="1062" spans="1:6" ht="12" customHeight="1">
      <c r="A1062" s="423">
        <v>7.74</v>
      </c>
      <c r="B1062" s="629">
        <v>0.156</v>
      </c>
      <c r="D1062" s="157"/>
      <c r="E1062" s="158"/>
      <c r="F1062" s="129"/>
    </row>
    <row r="1063" spans="1:6" ht="12" customHeight="1">
      <c r="A1063" s="423">
        <v>7.75</v>
      </c>
      <c r="B1063" s="629">
        <v>0.156</v>
      </c>
      <c r="D1063" s="157"/>
      <c r="E1063" s="158"/>
      <c r="F1063" s="129"/>
    </row>
    <row r="1064" spans="1:6" ht="12" customHeight="1">
      <c r="A1064" s="423">
        <v>7.76</v>
      </c>
      <c r="B1064" s="629">
        <v>0.15590000000000001</v>
      </c>
      <c r="D1064" s="157"/>
      <c r="E1064" s="158"/>
      <c r="F1064" s="129"/>
    </row>
    <row r="1065" spans="1:6" ht="12" customHeight="1">
      <c r="A1065" s="423">
        <v>7.77</v>
      </c>
      <c r="B1065" s="629">
        <v>0.15590000000000001</v>
      </c>
      <c r="D1065" s="157"/>
      <c r="E1065" s="158"/>
      <c r="F1065" s="129"/>
    </row>
    <row r="1066" spans="1:6" ht="12" customHeight="1">
      <c r="A1066" s="423">
        <v>7.78</v>
      </c>
      <c r="B1066" s="629">
        <v>0.15579999999999999</v>
      </c>
      <c r="D1066" s="157"/>
      <c r="E1066" s="158"/>
      <c r="F1066" s="129"/>
    </row>
    <row r="1067" spans="1:6" ht="12" customHeight="1">
      <c r="A1067" s="423">
        <v>7.79</v>
      </c>
      <c r="B1067" s="629">
        <v>0.15579999999999999</v>
      </c>
      <c r="D1067" s="157"/>
      <c r="E1067" s="158"/>
      <c r="F1067" s="129"/>
    </row>
    <row r="1068" spans="1:6" ht="12" customHeight="1">
      <c r="A1068" s="423">
        <v>7.8</v>
      </c>
      <c r="B1068" s="629">
        <v>0.15579999999999999</v>
      </c>
      <c r="D1068" s="157"/>
      <c r="E1068" s="158"/>
      <c r="F1068" s="129"/>
    </row>
    <row r="1069" spans="1:6" ht="12" customHeight="1">
      <c r="A1069" s="423">
        <v>7.81</v>
      </c>
      <c r="B1069" s="629">
        <v>0.15570000000000001</v>
      </c>
      <c r="D1069" s="157"/>
      <c r="E1069" s="158"/>
      <c r="F1069" s="129"/>
    </row>
    <row r="1070" spans="1:6" ht="12" customHeight="1">
      <c r="A1070" s="423">
        <v>7.82</v>
      </c>
      <c r="B1070" s="629">
        <v>0.15570000000000001</v>
      </c>
      <c r="D1070" s="157"/>
      <c r="E1070" s="158"/>
      <c r="F1070" s="129"/>
    </row>
    <row r="1071" spans="1:6" ht="12" customHeight="1">
      <c r="A1071" s="423">
        <v>7.83</v>
      </c>
      <c r="B1071" s="629">
        <v>0.15559999999999999</v>
      </c>
      <c r="D1071" s="157"/>
      <c r="E1071" s="158"/>
      <c r="F1071" s="129"/>
    </row>
    <row r="1072" spans="1:6" ht="12" customHeight="1">
      <c r="A1072" s="423">
        <v>7.84</v>
      </c>
      <c r="B1072" s="629">
        <v>0.15559999999999999</v>
      </c>
      <c r="D1072" s="157"/>
      <c r="E1072" s="158"/>
      <c r="F1072" s="129"/>
    </row>
    <row r="1073" spans="1:6" ht="12" customHeight="1">
      <c r="A1073" s="423">
        <v>7.85</v>
      </c>
      <c r="B1073" s="629">
        <v>0.1555</v>
      </c>
      <c r="D1073" s="157"/>
      <c r="E1073" s="158"/>
      <c r="F1073" s="129"/>
    </row>
    <row r="1074" spans="1:6" ht="12" customHeight="1">
      <c r="A1074" s="423">
        <v>7.86</v>
      </c>
      <c r="B1074" s="629">
        <v>0.1555</v>
      </c>
      <c r="D1074" s="157"/>
      <c r="E1074" s="158"/>
      <c r="F1074" s="129"/>
    </row>
    <row r="1075" spans="1:6" ht="12" customHeight="1">
      <c r="A1075" s="423">
        <v>7.87</v>
      </c>
      <c r="B1075" s="629">
        <v>0.1555</v>
      </c>
      <c r="D1075" s="157"/>
      <c r="E1075" s="158"/>
      <c r="F1075" s="129"/>
    </row>
    <row r="1076" spans="1:6" ht="12" customHeight="1">
      <c r="A1076" s="423">
        <v>7.88</v>
      </c>
      <c r="B1076" s="629">
        <v>0.15540000000000001</v>
      </c>
      <c r="D1076" s="157"/>
      <c r="E1076" s="158"/>
      <c r="F1076" s="129"/>
    </row>
    <row r="1077" spans="1:6" ht="12" customHeight="1">
      <c r="A1077" s="423">
        <v>7.89</v>
      </c>
      <c r="B1077" s="629">
        <v>0.15540000000000001</v>
      </c>
      <c r="D1077" s="157"/>
      <c r="E1077" s="158"/>
      <c r="F1077" s="129"/>
    </row>
    <row r="1078" spans="1:6" ht="12" customHeight="1">
      <c r="A1078" s="423">
        <v>7.9</v>
      </c>
      <c r="B1078" s="629">
        <v>0.15529999999999999</v>
      </c>
      <c r="D1078" s="157"/>
      <c r="E1078" s="158"/>
      <c r="F1078" s="129"/>
    </row>
    <row r="1079" spans="1:6" ht="12" customHeight="1">
      <c r="A1079" s="423">
        <v>7.91</v>
      </c>
      <c r="B1079" s="629">
        <v>0.15529999999999999</v>
      </c>
      <c r="D1079" s="157"/>
      <c r="E1079" s="158"/>
      <c r="F1079" s="129"/>
    </row>
    <row r="1080" spans="1:6" ht="12" customHeight="1">
      <c r="A1080" s="423">
        <v>7.92</v>
      </c>
      <c r="B1080" s="629">
        <v>0.1552</v>
      </c>
      <c r="D1080" s="157"/>
      <c r="E1080" s="158"/>
      <c r="F1080" s="129"/>
    </row>
    <row r="1081" spans="1:6" ht="12" customHeight="1">
      <c r="A1081" s="423">
        <v>7.93</v>
      </c>
      <c r="B1081" s="629">
        <v>0.1552</v>
      </c>
      <c r="D1081" s="157"/>
      <c r="E1081" s="158"/>
      <c r="F1081" s="129"/>
    </row>
    <row r="1082" spans="1:6" ht="12" customHeight="1">
      <c r="A1082" s="423">
        <v>7.94</v>
      </c>
      <c r="B1082" s="629">
        <v>0.1552</v>
      </c>
      <c r="D1082" s="157"/>
      <c r="E1082" s="158"/>
      <c r="F1082" s="129"/>
    </row>
    <row r="1083" spans="1:6" ht="12" customHeight="1">
      <c r="A1083" s="423">
        <v>7.95</v>
      </c>
      <c r="B1083" s="629">
        <v>0.15509999999999999</v>
      </c>
      <c r="D1083" s="157"/>
      <c r="E1083" s="158"/>
      <c r="F1083" s="129"/>
    </row>
    <row r="1084" spans="1:6" ht="12" customHeight="1">
      <c r="A1084" s="423">
        <v>7.96</v>
      </c>
      <c r="B1084" s="629">
        <v>0.15509999999999999</v>
      </c>
      <c r="D1084" s="157"/>
      <c r="E1084" s="158"/>
      <c r="F1084" s="129"/>
    </row>
    <row r="1085" spans="1:6" ht="12" customHeight="1">
      <c r="A1085" s="423">
        <v>7.97</v>
      </c>
      <c r="B1085" s="629">
        <v>0.155</v>
      </c>
      <c r="D1085" s="157"/>
      <c r="E1085" s="158"/>
      <c r="F1085" s="129"/>
    </row>
    <row r="1086" spans="1:6" ht="12" customHeight="1">
      <c r="A1086" s="423">
        <v>7.98</v>
      </c>
      <c r="B1086" s="629">
        <v>0.155</v>
      </c>
      <c r="D1086" s="157"/>
      <c r="E1086" s="158"/>
      <c r="F1086" s="129"/>
    </row>
    <row r="1087" spans="1:6" ht="12" customHeight="1">
      <c r="A1087" s="423">
        <v>7.99</v>
      </c>
      <c r="B1087" s="629">
        <v>0.15490000000000001</v>
      </c>
      <c r="D1087" s="157"/>
      <c r="E1087" s="158"/>
      <c r="F1087" s="129"/>
    </row>
    <row r="1088" spans="1:6" ht="12" customHeight="1">
      <c r="A1088" s="423">
        <v>8</v>
      </c>
      <c r="B1088" s="629">
        <v>0.15490000000000001</v>
      </c>
      <c r="D1088" s="157"/>
      <c r="E1088" s="158"/>
      <c r="F1088" s="129"/>
    </row>
    <row r="1089" spans="1:6" ht="12" customHeight="1">
      <c r="A1089" s="423">
        <v>8.01</v>
      </c>
      <c r="B1089" s="629">
        <v>0.15490000000000001</v>
      </c>
      <c r="D1089" s="157"/>
      <c r="E1089" s="158"/>
      <c r="F1089" s="129"/>
    </row>
    <row r="1090" spans="1:6" ht="12" customHeight="1">
      <c r="A1090" s="423">
        <v>8.02</v>
      </c>
      <c r="B1090" s="629">
        <v>0.15479999999999999</v>
      </c>
      <c r="D1090" s="157"/>
      <c r="E1090" s="158"/>
      <c r="F1090" s="129"/>
    </row>
    <row r="1091" spans="1:6" ht="12" customHeight="1">
      <c r="A1091" s="423">
        <v>8.0299999999999994</v>
      </c>
      <c r="B1091" s="629">
        <v>0.15479999999999999</v>
      </c>
      <c r="D1091" s="157"/>
      <c r="E1091" s="158"/>
      <c r="F1091" s="129"/>
    </row>
    <row r="1092" spans="1:6" ht="12" customHeight="1">
      <c r="A1092" s="423">
        <v>8.0399999999999991</v>
      </c>
      <c r="B1092" s="629">
        <v>0.1547</v>
      </c>
      <c r="D1092" s="157"/>
      <c r="E1092" s="158"/>
      <c r="F1092" s="129"/>
    </row>
    <row r="1093" spans="1:6" ht="12" customHeight="1">
      <c r="A1093" s="423">
        <v>8.0500000000000007</v>
      </c>
      <c r="B1093" s="629">
        <v>0.1547</v>
      </c>
      <c r="D1093" s="157"/>
      <c r="E1093" s="158"/>
      <c r="F1093" s="129"/>
    </row>
    <row r="1094" spans="1:6" ht="12" customHeight="1">
      <c r="A1094" s="423">
        <v>8.06</v>
      </c>
      <c r="B1094" s="629">
        <v>0.15459999999999999</v>
      </c>
      <c r="D1094" s="157"/>
      <c r="E1094" s="158"/>
      <c r="F1094" s="129"/>
    </row>
    <row r="1095" spans="1:6" ht="12" customHeight="1">
      <c r="A1095" s="423">
        <v>8.07</v>
      </c>
      <c r="B1095" s="629">
        <v>0.15459999999999999</v>
      </c>
      <c r="D1095" s="157"/>
      <c r="E1095" s="158"/>
      <c r="F1095" s="129"/>
    </row>
    <row r="1096" spans="1:6" ht="12" customHeight="1">
      <c r="A1096" s="423">
        <v>8.08</v>
      </c>
      <c r="B1096" s="629">
        <v>0.15459999999999999</v>
      </c>
      <c r="D1096" s="157"/>
      <c r="E1096" s="158"/>
      <c r="F1096" s="129"/>
    </row>
    <row r="1097" spans="1:6" ht="12" customHeight="1">
      <c r="A1097" s="423">
        <v>8.09</v>
      </c>
      <c r="B1097" s="629">
        <v>0.1545</v>
      </c>
      <c r="D1097" s="157"/>
      <c r="E1097" s="158"/>
      <c r="F1097" s="129"/>
    </row>
    <row r="1098" spans="1:6" ht="12" customHeight="1">
      <c r="A1098" s="423">
        <v>8.1</v>
      </c>
      <c r="B1098" s="629">
        <v>0.1545</v>
      </c>
      <c r="D1098" s="157"/>
      <c r="E1098" s="158"/>
      <c r="F1098" s="129"/>
    </row>
    <row r="1099" spans="1:6" ht="12" customHeight="1">
      <c r="A1099" s="423">
        <v>8.11</v>
      </c>
      <c r="B1099" s="629">
        <v>0.15440000000000001</v>
      </c>
      <c r="D1099" s="157"/>
      <c r="E1099" s="158"/>
      <c r="F1099" s="129"/>
    </row>
    <row r="1100" spans="1:6" ht="12" customHeight="1">
      <c r="A1100" s="423">
        <v>8.1199999999999992</v>
      </c>
      <c r="B1100" s="629">
        <v>0.15440000000000001</v>
      </c>
      <c r="D1100" s="157"/>
      <c r="E1100" s="158"/>
      <c r="F1100" s="129"/>
    </row>
    <row r="1101" spans="1:6" ht="12" customHeight="1">
      <c r="A1101" s="423">
        <v>8.1300000000000008</v>
      </c>
      <c r="B1101" s="629">
        <v>0.15440000000000001</v>
      </c>
      <c r="D1101" s="157"/>
      <c r="E1101" s="158"/>
      <c r="F1101" s="129"/>
    </row>
    <row r="1102" spans="1:6" ht="12" customHeight="1">
      <c r="A1102" s="423">
        <v>8.14</v>
      </c>
      <c r="B1102" s="629">
        <v>0.15429999999999999</v>
      </c>
      <c r="D1102" s="157"/>
      <c r="E1102" s="158"/>
      <c r="F1102" s="129"/>
    </row>
    <row r="1103" spans="1:6" ht="12" customHeight="1">
      <c r="A1103" s="423">
        <v>8.15</v>
      </c>
      <c r="B1103" s="629">
        <v>0.15429999999999999</v>
      </c>
      <c r="D1103" s="157"/>
      <c r="E1103" s="158"/>
      <c r="F1103" s="129"/>
    </row>
    <row r="1104" spans="1:6" ht="12" customHeight="1">
      <c r="A1104" s="423">
        <v>8.16</v>
      </c>
      <c r="B1104" s="629">
        <v>0.1542</v>
      </c>
      <c r="D1104" s="157"/>
      <c r="E1104" s="158"/>
      <c r="F1104" s="129"/>
    </row>
    <row r="1105" spans="1:6" ht="12" customHeight="1">
      <c r="A1105" s="423">
        <v>8.17</v>
      </c>
      <c r="B1105" s="629">
        <v>0.1542</v>
      </c>
      <c r="D1105" s="157"/>
      <c r="E1105" s="158"/>
      <c r="F1105" s="129"/>
    </row>
    <row r="1106" spans="1:6" ht="12" customHeight="1">
      <c r="A1106" s="423">
        <v>8.18</v>
      </c>
      <c r="B1106" s="629">
        <v>0.15409999999999999</v>
      </c>
      <c r="D1106" s="157"/>
      <c r="E1106" s="158"/>
      <c r="F1106" s="129"/>
    </row>
    <row r="1107" spans="1:6" ht="12" customHeight="1">
      <c r="A1107" s="423">
        <v>8.19</v>
      </c>
      <c r="B1107" s="629">
        <v>0.15409999999999999</v>
      </c>
      <c r="D1107" s="157"/>
      <c r="E1107" s="158"/>
      <c r="F1107" s="129"/>
    </row>
    <row r="1108" spans="1:6" ht="12" customHeight="1">
      <c r="A1108" s="423">
        <v>8.1999999999999993</v>
      </c>
      <c r="B1108" s="629">
        <v>0.15409999999999999</v>
      </c>
      <c r="D1108" s="157"/>
      <c r="E1108" s="158"/>
      <c r="F1108" s="129"/>
    </row>
    <row r="1109" spans="1:6" ht="12" customHeight="1">
      <c r="A1109" s="423">
        <v>8.2100000000000009</v>
      </c>
      <c r="B1109" s="629">
        <v>0.154</v>
      </c>
      <c r="D1109" s="157"/>
      <c r="E1109" s="158"/>
      <c r="F1109" s="129"/>
    </row>
    <row r="1110" spans="1:6" ht="12" customHeight="1">
      <c r="A1110" s="423">
        <v>8.2200000000000006</v>
      </c>
      <c r="B1110" s="629">
        <v>0.154</v>
      </c>
      <c r="D1110" s="157"/>
      <c r="E1110" s="158"/>
      <c r="F1110" s="129"/>
    </row>
    <row r="1111" spans="1:6" ht="12" customHeight="1">
      <c r="A1111" s="423">
        <v>8.23</v>
      </c>
      <c r="B1111" s="629">
        <v>0.15390000000000001</v>
      </c>
      <c r="D1111" s="157"/>
      <c r="E1111" s="158"/>
      <c r="F1111" s="129"/>
    </row>
    <row r="1112" spans="1:6" ht="12" customHeight="1">
      <c r="A1112" s="423">
        <v>8.24</v>
      </c>
      <c r="B1112" s="629">
        <v>0.15390000000000001</v>
      </c>
      <c r="D1112" s="157"/>
      <c r="E1112" s="158"/>
      <c r="F1112" s="129"/>
    </row>
    <row r="1113" spans="1:6" ht="12" customHeight="1">
      <c r="A1113" s="423">
        <v>8.25</v>
      </c>
      <c r="B1113" s="629">
        <v>0.15390000000000001</v>
      </c>
      <c r="D1113" s="157"/>
      <c r="E1113" s="158"/>
      <c r="F1113" s="129"/>
    </row>
    <row r="1114" spans="1:6" ht="12" customHeight="1">
      <c r="A1114" s="423">
        <v>8.26</v>
      </c>
      <c r="B1114" s="629">
        <v>0.15379999999999999</v>
      </c>
      <c r="D1114" s="157"/>
      <c r="E1114" s="158"/>
      <c r="F1114" s="129"/>
    </row>
    <row r="1115" spans="1:6" ht="12" customHeight="1">
      <c r="A1115" s="423">
        <v>8.27</v>
      </c>
      <c r="B1115" s="629">
        <v>0.15379999999999999</v>
      </c>
      <c r="D1115" s="157"/>
      <c r="E1115" s="158"/>
      <c r="F1115" s="129"/>
    </row>
    <row r="1116" spans="1:6" ht="12" customHeight="1">
      <c r="A1116" s="423">
        <v>8.2799999999999994</v>
      </c>
      <c r="B1116" s="629">
        <v>0.1537</v>
      </c>
      <c r="D1116" s="157"/>
      <c r="E1116" s="158"/>
      <c r="F1116" s="129"/>
    </row>
    <row r="1117" spans="1:6" ht="12" customHeight="1">
      <c r="A1117" s="423">
        <v>8.2899999999999991</v>
      </c>
      <c r="B1117" s="629">
        <v>0.1537</v>
      </c>
      <c r="D1117" s="157"/>
      <c r="E1117" s="158"/>
      <c r="F1117" s="129"/>
    </row>
    <row r="1118" spans="1:6" ht="12" customHeight="1">
      <c r="A1118" s="423">
        <v>8.3000000000000007</v>
      </c>
      <c r="B1118" s="629">
        <v>0.1537</v>
      </c>
      <c r="D1118" s="157"/>
      <c r="E1118" s="158"/>
      <c r="F1118" s="129"/>
    </row>
    <row r="1119" spans="1:6" ht="12" customHeight="1">
      <c r="A1119" s="423">
        <v>8.31</v>
      </c>
      <c r="B1119" s="629">
        <v>0.15359999999999999</v>
      </c>
      <c r="D1119" s="157"/>
      <c r="E1119" s="158"/>
      <c r="F1119" s="129"/>
    </row>
    <row r="1120" spans="1:6" ht="12" customHeight="1">
      <c r="A1120" s="423">
        <v>8.32</v>
      </c>
      <c r="B1120" s="629">
        <v>0.15359999999999999</v>
      </c>
      <c r="D1120" s="157"/>
      <c r="E1120" s="158"/>
      <c r="F1120" s="129"/>
    </row>
    <row r="1121" spans="1:6" ht="12" customHeight="1">
      <c r="A1121" s="423">
        <v>8.33</v>
      </c>
      <c r="B1121" s="629">
        <v>0.1535</v>
      </c>
      <c r="D1121" s="157"/>
      <c r="E1121" s="158"/>
      <c r="F1121" s="129"/>
    </row>
    <row r="1122" spans="1:6" ht="12" customHeight="1">
      <c r="A1122" s="423">
        <v>8.34</v>
      </c>
      <c r="B1122" s="629">
        <v>0.1535</v>
      </c>
      <c r="D1122" s="157"/>
      <c r="E1122" s="158"/>
      <c r="F1122" s="129"/>
    </row>
    <row r="1123" spans="1:6" ht="12" customHeight="1">
      <c r="A1123" s="423">
        <v>8.35</v>
      </c>
      <c r="B1123" s="629">
        <v>0.1535</v>
      </c>
      <c r="D1123" s="157"/>
      <c r="E1123" s="158"/>
      <c r="F1123" s="129"/>
    </row>
    <row r="1124" spans="1:6" ht="12" customHeight="1">
      <c r="A1124" s="423">
        <v>8.36</v>
      </c>
      <c r="B1124" s="629">
        <v>0.15340000000000001</v>
      </c>
      <c r="D1124" s="157"/>
      <c r="E1124" s="158"/>
      <c r="F1124" s="129"/>
    </row>
    <row r="1125" spans="1:6" ht="12" customHeight="1">
      <c r="A1125" s="423">
        <v>8.3699999999999992</v>
      </c>
      <c r="B1125" s="629">
        <v>0.15340000000000001</v>
      </c>
      <c r="D1125" s="157"/>
      <c r="E1125" s="158"/>
      <c r="F1125" s="129"/>
    </row>
    <row r="1126" spans="1:6" ht="12" customHeight="1">
      <c r="A1126" s="423">
        <v>8.3800000000000008</v>
      </c>
      <c r="B1126" s="629">
        <v>0.15329999999999999</v>
      </c>
      <c r="D1126" s="157"/>
      <c r="E1126" s="158"/>
      <c r="F1126" s="129"/>
    </row>
    <row r="1127" spans="1:6" ht="12" customHeight="1">
      <c r="A1127" s="423">
        <v>8.39</v>
      </c>
      <c r="B1127" s="629">
        <v>0.15329999999999999</v>
      </c>
      <c r="D1127" s="157"/>
      <c r="E1127" s="158"/>
      <c r="F1127" s="129"/>
    </row>
    <row r="1128" spans="1:6" ht="12" customHeight="1">
      <c r="A1128" s="423">
        <v>8.4</v>
      </c>
      <c r="B1128" s="629">
        <v>0.15329999999999999</v>
      </c>
      <c r="D1128" s="157"/>
      <c r="E1128" s="158"/>
      <c r="F1128" s="129"/>
    </row>
    <row r="1129" spans="1:6" ht="12" customHeight="1">
      <c r="A1129" s="423">
        <v>8.41</v>
      </c>
      <c r="B1129" s="629">
        <v>0.1532</v>
      </c>
      <c r="D1129" s="157"/>
      <c r="E1129" s="158"/>
      <c r="F1129" s="129"/>
    </row>
    <row r="1130" spans="1:6" ht="12" customHeight="1">
      <c r="A1130" s="423">
        <v>8.42</v>
      </c>
      <c r="B1130" s="629">
        <v>0.1532</v>
      </c>
      <c r="D1130" s="157"/>
      <c r="E1130" s="158"/>
      <c r="F1130" s="129"/>
    </row>
    <row r="1131" spans="1:6" ht="12" customHeight="1">
      <c r="A1131" s="423">
        <v>8.43</v>
      </c>
      <c r="B1131" s="629">
        <v>0.15310000000000001</v>
      </c>
      <c r="D1131" s="157"/>
      <c r="E1131" s="158"/>
      <c r="F1131" s="129"/>
    </row>
    <row r="1132" spans="1:6" ht="12" customHeight="1">
      <c r="A1132" s="423">
        <v>8.44</v>
      </c>
      <c r="B1132" s="629">
        <v>0.15310000000000001</v>
      </c>
      <c r="D1132" s="157"/>
      <c r="E1132" s="158"/>
      <c r="F1132" s="129"/>
    </row>
    <row r="1133" spans="1:6" ht="12" customHeight="1">
      <c r="A1133" s="423">
        <v>8.4499999999999993</v>
      </c>
      <c r="B1133" s="629">
        <v>0.15310000000000001</v>
      </c>
      <c r="D1133" s="157"/>
      <c r="E1133" s="158"/>
      <c r="F1133" s="129"/>
    </row>
    <row r="1134" spans="1:6" ht="12" customHeight="1">
      <c r="A1134" s="423">
        <v>8.4600000000000009</v>
      </c>
      <c r="B1134" s="629">
        <v>0.153</v>
      </c>
      <c r="D1134" s="157"/>
      <c r="E1134" s="158"/>
      <c r="F1134" s="129"/>
    </row>
    <row r="1135" spans="1:6" ht="12" customHeight="1">
      <c r="A1135" s="423">
        <v>8.4700000000000006</v>
      </c>
      <c r="B1135" s="629">
        <v>0.153</v>
      </c>
      <c r="D1135" s="157"/>
      <c r="E1135" s="158"/>
      <c r="F1135" s="129"/>
    </row>
    <row r="1136" spans="1:6" ht="12" customHeight="1">
      <c r="A1136" s="423">
        <v>8.48</v>
      </c>
      <c r="B1136" s="629">
        <v>0.15290000000000001</v>
      </c>
      <c r="D1136" s="157"/>
      <c r="E1136" s="158"/>
      <c r="F1136" s="129"/>
    </row>
    <row r="1137" spans="1:6" ht="12" customHeight="1">
      <c r="A1137" s="423">
        <v>8.49</v>
      </c>
      <c r="B1137" s="629">
        <v>0.15290000000000001</v>
      </c>
      <c r="D1137" s="157"/>
      <c r="E1137" s="158"/>
      <c r="F1137" s="129"/>
    </row>
    <row r="1138" spans="1:6" ht="12" customHeight="1">
      <c r="A1138" s="423">
        <v>8.5</v>
      </c>
      <c r="B1138" s="629">
        <v>0.15290000000000001</v>
      </c>
      <c r="D1138" s="157"/>
      <c r="E1138" s="158"/>
      <c r="F1138" s="129"/>
    </row>
    <row r="1139" spans="1:6" ht="12" customHeight="1">
      <c r="A1139" s="423">
        <v>8.51</v>
      </c>
      <c r="B1139" s="629">
        <v>0.15279999999999999</v>
      </c>
      <c r="D1139" s="157"/>
      <c r="E1139" s="158"/>
      <c r="F1139" s="129"/>
    </row>
    <row r="1140" spans="1:6" ht="12" customHeight="1">
      <c r="A1140" s="423">
        <v>8.52</v>
      </c>
      <c r="B1140" s="629">
        <v>0.15279999999999999</v>
      </c>
      <c r="D1140" s="157"/>
      <c r="E1140" s="158"/>
      <c r="F1140" s="129"/>
    </row>
    <row r="1141" spans="1:6" ht="12" customHeight="1">
      <c r="A1141" s="423">
        <v>8.5299999999999994</v>
      </c>
      <c r="B1141" s="629">
        <v>0.1527</v>
      </c>
      <c r="D1141" s="157"/>
      <c r="E1141" s="158"/>
      <c r="F1141" s="129"/>
    </row>
    <row r="1142" spans="1:6" ht="12" customHeight="1">
      <c r="A1142" s="423">
        <v>8.5399999999999991</v>
      </c>
      <c r="B1142" s="629">
        <v>0.1527</v>
      </c>
      <c r="D1142" s="157"/>
      <c r="E1142" s="158"/>
      <c r="F1142" s="129"/>
    </row>
    <row r="1143" spans="1:6" ht="12" customHeight="1">
      <c r="A1143" s="423">
        <v>8.5500000000000007</v>
      </c>
      <c r="B1143" s="629">
        <v>0.1527</v>
      </c>
      <c r="D1143" s="157"/>
      <c r="E1143" s="158"/>
      <c r="F1143" s="129"/>
    </row>
    <row r="1144" spans="1:6" ht="12" customHeight="1">
      <c r="A1144" s="423">
        <v>8.56</v>
      </c>
      <c r="B1144" s="629">
        <v>0.15260000000000001</v>
      </c>
      <c r="D1144" s="157"/>
      <c r="E1144" s="158"/>
      <c r="F1144" s="129"/>
    </row>
    <row r="1145" spans="1:6" ht="12" customHeight="1">
      <c r="A1145" s="423">
        <v>8.57</v>
      </c>
      <c r="B1145" s="629">
        <v>0.15260000000000001</v>
      </c>
      <c r="D1145" s="157"/>
      <c r="E1145" s="158"/>
      <c r="F1145" s="129"/>
    </row>
    <row r="1146" spans="1:6" ht="12" customHeight="1">
      <c r="A1146" s="423">
        <v>8.58</v>
      </c>
      <c r="B1146" s="629">
        <v>0.1525</v>
      </c>
      <c r="D1146" s="157"/>
      <c r="E1146" s="158"/>
      <c r="F1146" s="129"/>
    </row>
    <row r="1147" spans="1:6" ht="12" customHeight="1">
      <c r="A1147" s="423">
        <v>8.59</v>
      </c>
      <c r="B1147" s="629">
        <v>0.1525</v>
      </c>
      <c r="D1147" s="157"/>
      <c r="E1147" s="158"/>
      <c r="F1147" s="129"/>
    </row>
    <row r="1148" spans="1:6" ht="12" customHeight="1">
      <c r="A1148" s="423">
        <v>8.6</v>
      </c>
      <c r="B1148" s="629">
        <v>0.1525</v>
      </c>
      <c r="D1148" s="157"/>
      <c r="E1148" s="158"/>
      <c r="F1148" s="129"/>
    </row>
    <row r="1149" spans="1:6" ht="12" customHeight="1">
      <c r="A1149" s="423">
        <v>8.61</v>
      </c>
      <c r="B1149" s="629">
        <v>0.15240000000000001</v>
      </c>
      <c r="D1149" s="157"/>
      <c r="E1149" s="158"/>
      <c r="F1149" s="129"/>
    </row>
    <row r="1150" spans="1:6" ht="12" customHeight="1">
      <c r="A1150" s="423">
        <v>8.6199999999999992</v>
      </c>
      <c r="B1150" s="629">
        <v>0.15240000000000001</v>
      </c>
      <c r="D1150" s="157"/>
      <c r="E1150" s="158"/>
      <c r="F1150" s="129"/>
    </row>
    <row r="1151" spans="1:6" ht="12" customHeight="1">
      <c r="A1151" s="423">
        <v>8.6300000000000008</v>
      </c>
      <c r="B1151" s="629">
        <v>0.15229999999999999</v>
      </c>
      <c r="D1151" s="157"/>
      <c r="E1151" s="158"/>
      <c r="F1151" s="129"/>
    </row>
    <row r="1152" spans="1:6" ht="12" customHeight="1">
      <c r="A1152" s="423">
        <v>8.64</v>
      </c>
      <c r="B1152" s="629">
        <v>0.15229999999999999</v>
      </c>
      <c r="D1152" s="157"/>
      <c r="E1152" s="158"/>
      <c r="F1152" s="129"/>
    </row>
    <row r="1153" spans="1:6" ht="12" customHeight="1">
      <c r="A1153" s="423">
        <v>8.65</v>
      </c>
      <c r="B1153" s="629">
        <v>0.15229999999999999</v>
      </c>
      <c r="D1153" s="157"/>
      <c r="E1153" s="158"/>
      <c r="F1153" s="129"/>
    </row>
    <row r="1154" spans="1:6" ht="12" customHeight="1">
      <c r="A1154" s="423">
        <v>8.66</v>
      </c>
      <c r="B1154" s="629">
        <v>0.1522</v>
      </c>
      <c r="D1154" s="157"/>
      <c r="E1154" s="158"/>
      <c r="F1154" s="129"/>
    </row>
    <row r="1155" spans="1:6" ht="12" customHeight="1">
      <c r="A1155" s="423">
        <v>8.67</v>
      </c>
      <c r="B1155" s="629">
        <v>0.1522</v>
      </c>
      <c r="D1155" s="157"/>
      <c r="E1155" s="158"/>
      <c r="F1155" s="129"/>
    </row>
    <row r="1156" spans="1:6" ht="12" customHeight="1">
      <c r="A1156" s="423">
        <v>8.68</v>
      </c>
      <c r="B1156" s="629">
        <v>0.1522</v>
      </c>
      <c r="D1156" s="157"/>
      <c r="E1156" s="158"/>
      <c r="F1156" s="129"/>
    </row>
    <row r="1157" spans="1:6" ht="12" customHeight="1">
      <c r="A1157" s="423">
        <v>8.69</v>
      </c>
      <c r="B1157" s="629">
        <v>0.15210000000000001</v>
      </c>
      <c r="D1157" s="157"/>
      <c r="E1157" s="158"/>
      <c r="F1157" s="129"/>
    </row>
    <row r="1158" spans="1:6" ht="12" customHeight="1">
      <c r="A1158" s="423">
        <v>8.6999999999999993</v>
      </c>
      <c r="B1158" s="629">
        <v>0.15210000000000001</v>
      </c>
      <c r="D1158" s="157"/>
      <c r="E1158" s="158"/>
      <c r="F1158" s="129"/>
    </row>
    <row r="1159" spans="1:6" ht="12" customHeight="1">
      <c r="A1159" s="423">
        <v>8.7100000000000009</v>
      </c>
      <c r="B1159" s="629">
        <v>0.152</v>
      </c>
      <c r="D1159" s="157"/>
      <c r="E1159" s="158"/>
      <c r="F1159" s="129"/>
    </row>
    <row r="1160" spans="1:6" ht="12" customHeight="1">
      <c r="A1160" s="423">
        <v>8.7200000000000006</v>
      </c>
      <c r="B1160" s="629">
        <v>0.152</v>
      </c>
      <c r="D1160" s="157"/>
      <c r="E1160" s="158"/>
      <c r="F1160" s="129"/>
    </row>
    <row r="1161" spans="1:6" ht="12" customHeight="1">
      <c r="A1161" s="423">
        <v>8.73</v>
      </c>
      <c r="B1161" s="629">
        <v>0.152</v>
      </c>
      <c r="D1161" s="157"/>
      <c r="E1161" s="158"/>
      <c r="F1161" s="129"/>
    </row>
    <row r="1162" spans="1:6" ht="12" customHeight="1">
      <c r="A1162" s="423">
        <v>8.74</v>
      </c>
      <c r="B1162" s="629">
        <v>0.15190000000000001</v>
      </c>
      <c r="D1162" s="157"/>
      <c r="E1162" s="158"/>
      <c r="F1162" s="129"/>
    </row>
    <row r="1163" spans="1:6" ht="12" customHeight="1">
      <c r="A1163" s="423">
        <v>8.75</v>
      </c>
      <c r="B1163" s="629">
        <v>0.15190000000000001</v>
      </c>
      <c r="D1163" s="157"/>
      <c r="E1163" s="158"/>
      <c r="F1163" s="129"/>
    </row>
    <row r="1164" spans="1:6" ht="12" customHeight="1">
      <c r="A1164" s="423">
        <v>8.76</v>
      </c>
      <c r="B1164" s="629">
        <v>0.15179999999999999</v>
      </c>
      <c r="D1164" s="157"/>
      <c r="E1164" s="158"/>
      <c r="F1164" s="129"/>
    </row>
    <row r="1165" spans="1:6" ht="12" customHeight="1">
      <c r="A1165" s="423">
        <v>8.77</v>
      </c>
      <c r="B1165" s="629">
        <v>0.15179999999999999</v>
      </c>
      <c r="D1165" s="157"/>
      <c r="E1165" s="158"/>
      <c r="F1165" s="129"/>
    </row>
    <row r="1166" spans="1:6" ht="12" customHeight="1">
      <c r="A1166" s="423">
        <v>8.7799999999999994</v>
      </c>
      <c r="B1166" s="629">
        <v>0.15179999999999999</v>
      </c>
      <c r="D1166" s="157"/>
      <c r="E1166" s="158"/>
      <c r="F1166" s="129"/>
    </row>
    <row r="1167" spans="1:6" ht="12" customHeight="1">
      <c r="A1167" s="423">
        <v>8.7899999999999991</v>
      </c>
      <c r="B1167" s="629">
        <v>0.1517</v>
      </c>
      <c r="D1167" s="157"/>
      <c r="E1167" s="158"/>
      <c r="F1167" s="129"/>
    </row>
    <row r="1168" spans="1:6" ht="12" customHeight="1">
      <c r="A1168" s="423">
        <v>8.8000000000000007</v>
      </c>
      <c r="B1168" s="629">
        <v>0.1517</v>
      </c>
      <c r="D1168" s="157"/>
      <c r="E1168" s="158"/>
      <c r="F1168" s="129"/>
    </row>
    <row r="1169" spans="1:6" ht="12" customHeight="1">
      <c r="A1169" s="423">
        <v>8.81</v>
      </c>
      <c r="B1169" s="629">
        <v>0.1517</v>
      </c>
      <c r="D1169" s="157"/>
      <c r="E1169" s="158"/>
      <c r="F1169" s="129"/>
    </row>
    <row r="1170" spans="1:6" ht="12" customHeight="1">
      <c r="A1170" s="423">
        <v>8.82</v>
      </c>
      <c r="B1170" s="629">
        <v>0.15160000000000001</v>
      </c>
      <c r="D1170" s="157"/>
      <c r="E1170" s="158"/>
      <c r="F1170" s="129"/>
    </row>
    <row r="1171" spans="1:6" ht="12" customHeight="1">
      <c r="A1171" s="423">
        <v>8.83</v>
      </c>
      <c r="B1171" s="629">
        <v>0.15160000000000001</v>
      </c>
      <c r="D1171" s="157"/>
      <c r="E1171" s="158"/>
      <c r="F1171" s="129"/>
    </row>
    <row r="1172" spans="1:6" ht="12" customHeight="1">
      <c r="A1172" s="423">
        <v>8.84</v>
      </c>
      <c r="B1172" s="629">
        <v>0.1515</v>
      </c>
      <c r="D1172" s="157"/>
      <c r="E1172" s="158"/>
      <c r="F1172" s="129"/>
    </row>
    <row r="1173" spans="1:6" ht="12" customHeight="1">
      <c r="A1173" s="423">
        <v>8.85</v>
      </c>
      <c r="B1173" s="629">
        <v>0.1515</v>
      </c>
      <c r="D1173" s="157"/>
      <c r="E1173" s="158"/>
      <c r="F1173" s="129"/>
    </row>
    <row r="1174" spans="1:6" ht="12" customHeight="1">
      <c r="A1174" s="423">
        <v>8.86</v>
      </c>
      <c r="B1174" s="629">
        <v>0.1515</v>
      </c>
      <c r="D1174" s="157"/>
      <c r="E1174" s="158"/>
      <c r="F1174" s="129"/>
    </row>
    <row r="1175" spans="1:6" ht="12" customHeight="1">
      <c r="A1175" s="423">
        <v>8.8699999999999992</v>
      </c>
      <c r="B1175" s="629">
        <v>0.15140000000000001</v>
      </c>
      <c r="D1175" s="157"/>
      <c r="E1175" s="158"/>
      <c r="F1175" s="129"/>
    </row>
    <row r="1176" spans="1:6" ht="12" customHeight="1">
      <c r="A1176" s="423">
        <v>8.8800000000000008</v>
      </c>
      <c r="B1176" s="629">
        <v>0.15140000000000001</v>
      </c>
      <c r="D1176" s="157"/>
      <c r="E1176" s="158"/>
      <c r="F1176" s="129"/>
    </row>
    <row r="1177" spans="1:6" ht="12" customHeight="1">
      <c r="A1177" s="423">
        <v>8.89</v>
      </c>
      <c r="B1177" s="629">
        <v>0.15140000000000001</v>
      </c>
      <c r="D1177" s="157"/>
      <c r="E1177" s="158"/>
      <c r="F1177" s="129"/>
    </row>
    <row r="1178" spans="1:6" ht="12" customHeight="1">
      <c r="A1178" s="423">
        <v>8.9</v>
      </c>
      <c r="B1178" s="629">
        <v>0.15129999999999999</v>
      </c>
      <c r="D1178" s="157"/>
      <c r="E1178" s="158"/>
      <c r="F1178" s="129"/>
    </row>
    <row r="1179" spans="1:6" ht="12" customHeight="1">
      <c r="A1179" s="423">
        <v>8.91</v>
      </c>
      <c r="B1179" s="629">
        <v>0.15129999999999999</v>
      </c>
      <c r="D1179" s="157"/>
      <c r="E1179" s="158"/>
      <c r="F1179" s="129"/>
    </row>
    <row r="1180" spans="1:6" ht="12" customHeight="1">
      <c r="A1180" s="423">
        <v>8.92</v>
      </c>
      <c r="B1180" s="629">
        <v>0.1512</v>
      </c>
      <c r="D1180" s="157"/>
      <c r="E1180" s="158"/>
      <c r="F1180" s="129"/>
    </row>
    <row r="1181" spans="1:6" ht="12" customHeight="1">
      <c r="A1181" s="423">
        <v>8.93</v>
      </c>
      <c r="B1181" s="629">
        <v>0.1512</v>
      </c>
      <c r="D1181" s="157"/>
      <c r="E1181" s="158"/>
      <c r="F1181" s="129"/>
    </row>
    <row r="1182" spans="1:6" ht="12" customHeight="1">
      <c r="A1182" s="423">
        <v>8.94</v>
      </c>
      <c r="B1182" s="629">
        <v>0.1512</v>
      </c>
      <c r="D1182" s="157"/>
      <c r="E1182" s="158"/>
      <c r="F1182" s="129"/>
    </row>
    <row r="1183" spans="1:6" ht="12" customHeight="1">
      <c r="A1183" s="423">
        <v>8.9499999999999993</v>
      </c>
      <c r="B1183" s="629">
        <v>0.15110000000000001</v>
      </c>
      <c r="D1183" s="157"/>
      <c r="E1183" s="158"/>
      <c r="F1183" s="129"/>
    </row>
    <row r="1184" spans="1:6" ht="12" customHeight="1">
      <c r="A1184" s="423">
        <v>8.9600000000000009</v>
      </c>
      <c r="B1184" s="629">
        <v>0.15110000000000001</v>
      </c>
      <c r="D1184" s="157"/>
      <c r="E1184" s="158"/>
      <c r="F1184" s="129"/>
    </row>
    <row r="1185" spans="1:6" ht="12" customHeight="1">
      <c r="A1185" s="423">
        <v>8.9700000000000006</v>
      </c>
      <c r="B1185" s="629">
        <v>0.15110000000000001</v>
      </c>
      <c r="D1185" s="157"/>
      <c r="E1185" s="158"/>
      <c r="F1185" s="129"/>
    </row>
    <row r="1186" spans="1:6" ht="12" customHeight="1">
      <c r="A1186" s="423">
        <v>8.98</v>
      </c>
      <c r="B1186" s="629">
        <v>0.151</v>
      </c>
      <c r="D1186" s="157"/>
      <c r="E1186" s="158"/>
      <c r="F1186" s="129"/>
    </row>
    <row r="1187" spans="1:6" ht="12" customHeight="1">
      <c r="A1187" s="423">
        <v>8.99</v>
      </c>
      <c r="B1187" s="629">
        <v>0.151</v>
      </c>
      <c r="D1187" s="157"/>
      <c r="E1187" s="158"/>
      <c r="F1187" s="129"/>
    </row>
    <row r="1188" spans="1:6" ht="12" customHeight="1">
      <c r="A1188" s="423">
        <v>9</v>
      </c>
      <c r="B1188" s="629">
        <v>0.151</v>
      </c>
      <c r="D1188" s="157"/>
      <c r="E1188" s="158"/>
      <c r="F1188" s="129"/>
    </row>
    <row r="1189" spans="1:6" ht="12" customHeight="1">
      <c r="A1189" s="423">
        <v>9.01</v>
      </c>
      <c r="B1189" s="629">
        <v>0.15090000000000001</v>
      </c>
      <c r="D1189" s="157"/>
      <c r="E1189" s="158"/>
      <c r="F1189" s="129"/>
    </row>
    <row r="1190" spans="1:6" ht="12" customHeight="1">
      <c r="A1190" s="423">
        <v>9.02</v>
      </c>
      <c r="B1190" s="629">
        <v>0.15090000000000001</v>
      </c>
      <c r="D1190" s="157"/>
      <c r="E1190" s="158"/>
      <c r="F1190" s="129"/>
    </row>
    <row r="1191" spans="1:6" ht="12" customHeight="1">
      <c r="A1191" s="423">
        <v>9.0299999999999994</v>
      </c>
      <c r="B1191" s="629">
        <v>0.15079999999999999</v>
      </c>
      <c r="D1191" s="157"/>
      <c r="E1191" s="158"/>
      <c r="F1191" s="129"/>
    </row>
    <row r="1192" spans="1:6" ht="12" customHeight="1">
      <c r="A1192" s="423">
        <v>9.0399999999999991</v>
      </c>
      <c r="B1192" s="629">
        <v>0.15079999999999999</v>
      </c>
      <c r="D1192" s="157"/>
      <c r="E1192" s="158"/>
      <c r="F1192" s="129"/>
    </row>
    <row r="1193" spans="1:6" ht="12" customHeight="1">
      <c r="A1193" s="423">
        <v>9.0500000000000007</v>
      </c>
      <c r="B1193" s="629">
        <v>0.15079999999999999</v>
      </c>
      <c r="D1193" s="157"/>
      <c r="E1193" s="158"/>
      <c r="F1193" s="129"/>
    </row>
    <row r="1194" spans="1:6" ht="12" customHeight="1">
      <c r="A1194" s="423">
        <v>9.06</v>
      </c>
      <c r="B1194" s="629">
        <v>0.1507</v>
      </c>
      <c r="D1194" s="157"/>
      <c r="E1194" s="158"/>
      <c r="F1194" s="129"/>
    </row>
    <row r="1195" spans="1:6" ht="12" customHeight="1">
      <c r="A1195" s="423">
        <v>9.07</v>
      </c>
      <c r="B1195" s="629">
        <v>0.1507</v>
      </c>
      <c r="D1195" s="157"/>
      <c r="E1195" s="158"/>
      <c r="F1195" s="129"/>
    </row>
    <row r="1196" spans="1:6" ht="12" customHeight="1">
      <c r="A1196" s="423">
        <v>9.08</v>
      </c>
      <c r="B1196" s="629">
        <v>0.1507</v>
      </c>
      <c r="D1196" s="157"/>
      <c r="E1196" s="158"/>
      <c r="F1196" s="129"/>
    </row>
    <row r="1197" spans="1:6" ht="12" customHeight="1">
      <c r="A1197" s="423">
        <v>9.09</v>
      </c>
      <c r="B1197" s="629">
        <v>0.15060000000000001</v>
      </c>
      <c r="D1197" s="157"/>
      <c r="E1197" s="158"/>
      <c r="F1197" s="129"/>
    </row>
    <row r="1198" spans="1:6" ht="12" customHeight="1">
      <c r="A1198" s="423">
        <v>9.1</v>
      </c>
      <c r="B1198" s="629">
        <v>0.15060000000000001</v>
      </c>
      <c r="D1198" s="157"/>
      <c r="E1198" s="158"/>
      <c r="F1198" s="129"/>
    </row>
    <row r="1199" spans="1:6" ht="12" customHeight="1">
      <c r="A1199" s="423">
        <v>9.11</v>
      </c>
      <c r="B1199" s="629">
        <v>0.15060000000000001</v>
      </c>
      <c r="D1199" s="157"/>
      <c r="E1199" s="158"/>
      <c r="F1199" s="129"/>
    </row>
    <row r="1200" spans="1:6" ht="12" customHeight="1">
      <c r="A1200" s="423">
        <v>9.1199999999999992</v>
      </c>
      <c r="B1200" s="629">
        <v>0.15049999999999999</v>
      </c>
      <c r="D1200" s="157"/>
      <c r="E1200" s="158"/>
      <c r="F1200" s="129"/>
    </row>
    <row r="1201" spans="1:6" ht="12" customHeight="1">
      <c r="A1201" s="423">
        <v>9.1300000000000008</v>
      </c>
      <c r="B1201" s="629">
        <v>0.15049999999999999</v>
      </c>
      <c r="D1201" s="157"/>
      <c r="E1201" s="158"/>
      <c r="F1201" s="129"/>
    </row>
    <row r="1202" spans="1:6" ht="12" customHeight="1">
      <c r="A1202" s="423">
        <v>9.14</v>
      </c>
      <c r="B1202" s="629">
        <v>0.15040000000000001</v>
      </c>
      <c r="D1202" s="157"/>
      <c r="E1202" s="158"/>
      <c r="F1202" s="129"/>
    </row>
    <row r="1203" spans="1:6" ht="12" customHeight="1">
      <c r="A1203" s="423">
        <v>9.15</v>
      </c>
      <c r="B1203" s="629">
        <v>0.15040000000000001</v>
      </c>
      <c r="D1203" s="157"/>
      <c r="E1203" s="158"/>
      <c r="F1203" s="129"/>
    </row>
    <row r="1204" spans="1:6" ht="12" customHeight="1">
      <c r="A1204" s="423">
        <v>9.16</v>
      </c>
      <c r="B1204" s="629">
        <v>0.15040000000000001</v>
      </c>
      <c r="D1204" s="157"/>
      <c r="E1204" s="158"/>
      <c r="F1204" s="129"/>
    </row>
    <row r="1205" spans="1:6" ht="12" customHeight="1">
      <c r="A1205" s="423">
        <v>9.17</v>
      </c>
      <c r="B1205" s="629">
        <v>0.15029999999999999</v>
      </c>
      <c r="D1205" s="157"/>
      <c r="E1205" s="158"/>
      <c r="F1205" s="129"/>
    </row>
    <row r="1206" spans="1:6" ht="12" customHeight="1">
      <c r="A1206" s="423">
        <v>9.18</v>
      </c>
      <c r="B1206" s="629">
        <v>0.15029999999999999</v>
      </c>
      <c r="D1206" s="157"/>
      <c r="E1206" s="158"/>
      <c r="F1206" s="129"/>
    </row>
    <row r="1207" spans="1:6" ht="12" customHeight="1">
      <c r="A1207" s="423">
        <v>9.19</v>
      </c>
      <c r="B1207" s="629">
        <v>0.15029999999999999</v>
      </c>
      <c r="D1207" s="157"/>
      <c r="E1207" s="158"/>
      <c r="F1207" s="129"/>
    </row>
    <row r="1208" spans="1:6" ht="12" customHeight="1">
      <c r="A1208" s="423">
        <v>9.1999999999999993</v>
      </c>
      <c r="B1208" s="629">
        <v>0.1502</v>
      </c>
      <c r="D1208" s="157"/>
      <c r="E1208" s="158"/>
      <c r="F1208" s="129"/>
    </row>
    <row r="1209" spans="1:6" ht="12" customHeight="1">
      <c r="A1209" s="423">
        <v>9.2100000000000009</v>
      </c>
      <c r="B1209" s="629">
        <v>0.1502</v>
      </c>
      <c r="D1209" s="157"/>
      <c r="E1209" s="158"/>
      <c r="F1209" s="129"/>
    </row>
    <row r="1210" spans="1:6" ht="12" customHeight="1">
      <c r="A1210" s="423">
        <v>9.2200000000000006</v>
      </c>
      <c r="B1210" s="629">
        <v>0.1502</v>
      </c>
      <c r="D1210" s="157"/>
      <c r="E1210" s="158"/>
      <c r="F1210" s="129"/>
    </row>
    <row r="1211" spans="1:6" ht="12" customHeight="1">
      <c r="A1211" s="423">
        <v>9.23</v>
      </c>
      <c r="B1211" s="629">
        <v>0.15010000000000001</v>
      </c>
      <c r="D1211" s="157"/>
      <c r="E1211" s="158"/>
      <c r="F1211" s="129"/>
    </row>
    <row r="1212" spans="1:6" ht="12" customHeight="1">
      <c r="A1212" s="423">
        <v>9.24</v>
      </c>
      <c r="B1212" s="629">
        <v>0.15010000000000001</v>
      </c>
      <c r="D1212" s="157"/>
      <c r="E1212" s="158"/>
      <c r="F1212" s="129"/>
    </row>
    <row r="1213" spans="1:6" ht="12" customHeight="1">
      <c r="A1213" s="423">
        <v>9.25</v>
      </c>
      <c r="B1213" s="629">
        <v>0.15010000000000001</v>
      </c>
      <c r="D1213" s="157"/>
      <c r="E1213" s="158"/>
      <c r="F1213" s="129"/>
    </row>
    <row r="1214" spans="1:6" ht="12" customHeight="1">
      <c r="A1214" s="423">
        <v>9.26</v>
      </c>
      <c r="B1214" s="629">
        <v>0.15</v>
      </c>
      <c r="D1214" s="157"/>
      <c r="E1214" s="158"/>
      <c r="F1214" s="129"/>
    </row>
    <row r="1215" spans="1:6" ht="12" customHeight="1">
      <c r="A1215" s="423">
        <v>9.27</v>
      </c>
      <c r="B1215" s="629">
        <v>0.15</v>
      </c>
      <c r="D1215" s="157"/>
      <c r="E1215" s="158"/>
      <c r="F1215" s="129"/>
    </row>
    <row r="1216" spans="1:6" ht="12" customHeight="1">
      <c r="A1216" s="423">
        <v>9.2799999999999994</v>
      </c>
      <c r="B1216" s="629">
        <v>0.14990000000000001</v>
      </c>
      <c r="D1216" s="157"/>
      <c r="E1216" s="158"/>
      <c r="F1216" s="129"/>
    </row>
    <row r="1217" spans="1:6" ht="12" customHeight="1">
      <c r="A1217" s="423">
        <v>9.2899999999999991</v>
      </c>
      <c r="B1217" s="629">
        <v>0.14990000000000001</v>
      </c>
      <c r="D1217" s="157"/>
      <c r="E1217" s="158"/>
      <c r="F1217" s="129"/>
    </row>
    <row r="1218" spans="1:6" ht="12" customHeight="1">
      <c r="A1218" s="423">
        <v>9.3000000000000007</v>
      </c>
      <c r="B1218" s="629">
        <v>0.14990000000000001</v>
      </c>
      <c r="D1218" s="157"/>
      <c r="E1218" s="158"/>
      <c r="F1218" s="129"/>
    </row>
    <row r="1219" spans="1:6" ht="12" customHeight="1">
      <c r="A1219" s="423">
        <v>9.31</v>
      </c>
      <c r="B1219" s="629">
        <v>0.14979999999999999</v>
      </c>
      <c r="D1219" s="157"/>
      <c r="E1219" s="158"/>
      <c r="F1219" s="129"/>
    </row>
    <row r="1220" spans="1:6" ht="12" customHeight="1">
      <c r="A1220" s="423">
        <v>9.32</v>
      </c>
      <c r="B1220" s="629">
        <v>0.14979999999999999</v>
      </c>
      <c r="D1220" s="157"/>
      <c r="E1220" s="158"/>
      <c r="F1220" s="129"/>
    </row>
    <row r="1221" spans="1:6" ht="12" customHeight="1">
      <c r="A1221" s="423">
        <v>9.33</v>
      </c>
      <c r="B1221" s="629">
        <v>0.14979999999999999</v>
      </c>
      <c r="D1221" s="157"/>
      <c r="E1221" s="158"/>
      <c r="F1221" s="129"/>
    </row>
    <row r="1222" spans="1:6" ht="12" customHeight="1">
      <c r="A1222" s="423">
        <v>9.34</v>
      </c>
      <c r="B1222" s="629">
        <v>0.1497</v>
      </c>
      <c r="D1222" s="157"/>
      <c r="E1222" s="158"/>
      <c r="F1222" s="129"/>
    </row>
    <row r="1223" spans="1:6" ht="12" customHeight="1">
      <c r="A1223" s="423">
        <v>9.35</v>
      </c>
      <c r="B1223" s="629">
        <v>0.1497</v>
      </c>
      <c r="D1223" s="157"/>
      <c r="E1223" s="158"/>
      <c r="F1223" s="129"/>
    </row>
    <row r="1224" spans="1:6" ht="12" customHeight="1">
      <c r="A1224" s="423">
        <v>9.36</v>
      </c>
      <c r="B1224" s="629">
        <v>0.1497</v>
      </c>
      <c r="D1224" s="157"/>
      <c r="E1224" s="158"/>
      <c r="F1224" s="129"/>
    </row>
    <row r="1225" spans="1:6" ht="12" customHeight="1">
      <c r="A1225" s="423">
        <v>9.3699999999999992</v>
      </c>
      <c r="B1225" s="629">
        <v>0.14960000000000001</v>
      </c>
      <c r="D1225" s="157"/>
      <c r="E1225" s="158"/>
      <c r="F1225" s="129"/>
    </row>
    <row r="1226" spans="1:6" ht="12" customHeight="1">
      <c r="A1226" s="423">
        <v>9.3800000000000008</v>
      </c>
      <c r="B1226" s="629">
        <v>0.14960000000000001</v>
      </c>
      <c r="D1226" s="157"/>
      <c r="E1226" s="158"/>
      <c r="F1226" s="129"/>
    </row>
    <row r="1227" spans="1:6" ht="12" customHeight="1">
      <c r="A1227" s="423">
        <v>9.39</v>
      </c>
      <c r="B1227" s="629">
        <v>0.14960000000000001</v>
      </c>
      <c r="D1227" s="157"/>
      <c r="E1227" s="158"/>
      <c r="F1227" s="129"/>
    </row>
    <row r="1228" spans="1:6" ht="12" customHeight="1">
      <c r="A1228" s="423">
        <v>9.4</v>
      </c>
      <c r="B1228" s="629">
        <v>0.14949999999999999</v>
      </c>
      <c r="D1228" s="157"/>
      <c r="E1228" s="158"/>
      <c r="F1228" s="129"/>
    </row>
    <row r="1229" spans="1:6" ht="12" customHeight="1">
      <c r="A1229" s="423">
        <v>9.41</v>
      </c>
      <c r="B1229" s="629">
        <v>0.14949999999999999</v>
      </c>
      <c r="D1229" s="157"/>
      <c r="E1229" s="158"/>
      <c r="F1229" s="129"/>
    </row>
    <row r="1230" spans="1:6" ht="12" customHeight="1">
      <c r="A1230" s="423">
        <v>9.42</v>
      </c>
      <c r="B1230" s="629">
        <v>0.14949999999999999</v>
      </c>
      <c r="D1230" s="157"/>
      <c r="E1230" s="158"/>
      <c r="F1230" s="129"/>
    </row>
    <row r="1231" spans="1:6" ht="12" customHeight="1">
      <c r="A1231" s="423">
        <v>9.43</v>
      </c>
      <c r="B1231" s="629">
        <v>0.14940000000000001</v>
      </c>
      <c r="D1231" s="157"/>
      <c r="E1231" s="158"/>
      <c r="F1231" s="129"/>
    </row>
    <row r="1232" spans="1:6" ht="12" customHeight="1">
      <c r="A1232" s="423">
        <v>9.44</v>
      </c>
      <c r="B1232" s="629">
        <v>0.14940000000000001</v>
      </c>
      <c r="D1232" s="157"/>
      <c r="E1232" s="158"/>
      <c r="F1232" s="129"/>
    </row>
    <row r="1233" spans="1:6" ht="12" customHeight="1">
      <c r="A1233" s="423">
        <v>9.4499999999999993</v>
      </c>
      <c r="B1233" s="629">
        <v>0.14929999999999999</v>
      </c>
      <c r="D1233" s="157"/>
      <c r="E1233" s="158"/>
      <c r="F1233" s="129"/>
    </row>
    <row r="1234" spans="1:6" ht="12" customHeight="1">
      <c r="A1234" s="423">
        <v>9.4600000000000009</v>
      </c>
      <c r="B1234" s="629">
        <v>0.14929999999999999</v>
      </c>
      <c r="D1234" s="157"/>
      <c r="E1234" s="158"/>
      <c r="F1234" s="129"/>
    </row>
    <row r="1235" spans="1:6" ht="12" customHeight="1">
      <c r="A1235" s="423">
        <v>9.4700000000000006</v>
      </c>
      <c r="B1235" s="629">
        <v>0.14929999999999999</v>
      </c>
      <c r="D1235" s="157"/>
      <c r="E1235" s="158"/>
      <c r="F1235" s="129"/>
    </row>
    <row r="1236" spans="1:6" ht="12" customHeight="1">
      <c r="A1236" s="423">
        <v>9.48</v>
      </c>
      <c r="B1236" s="629">
        <v>0.1492</v>
      </c>
      <c r="D1236" s="157"/>
      <c r="E1236" s="158"/>
      <c r="F1236" s="129"/>
    </row>
    <row r="1237" spans="1:6" ht="12" customHeight="1">
      <c r="A1237" s="423">
        <v>9.49</v>
      </c>
      <c r="B1237" s="629">
        <v>0.1492</v>
      </c>
      <c r="D1237" s="157"/>
      <c r="E1237" s="158"/>
      <c r="F1237" s="129"/>
    </row>
    <row r="1238" spans="1:6" ht="12" customHeight="1">
      <c r="A1238" s="423">
        <v>9.5</v>
      </c>
      <c r="B1238" s="629">
        <v>0.1492</v>
      </c>
      <c r="D1238" s="157"/>
      <c r="E1238" s="158"/>
      <c r="F1238" s="129"/>
    </row>
    <row r="1239" spans="1:6" ht="12" customHeight="1">
      <c r="A1239" s="423">
        <v>9.51</v>
      </c>
      <c r="B1239" s="629">
        <v>0.14910000000000001</v>
      </c>
      <c r="D1239" s="157"/>
      <c r="E1239" s="158"/>
      <c r="F1239" s="129"/>
    </row>
    <row r="1240" spans="1:6" ht="12" customHeight="1">
      <c r="A1240" s="423">
        <v>9.52</v>
      </c>
      <c r="B1240" s="629">
        <v>0.14910000000000001</v>
      </c>
      <c r="D1240" s="157"/>
      <c r="E1240" s="158"/>
      <c r="F1240" s="129"/>
    </row>
    <row r="1241" spans="1:6" ht="12" customHeight="1">
      <c r="A1241" s="423">
        <v>9.5299999999999994</v>
      </c>
      <c r="B1241" s="629">
        <v>0.14910000000000001</v>
      </c>
      <c r="D1241" s="157"/>
      <c r="E1241" s="158"/>
      <c r="F1241" s="129"/>
    </row>
    <row r="1242" spans="1:6" ht="12" customHeight="1">
      <c r="A1242" s="423">
        <v>9.5399999999999991</v>
      </c>
      <c r="B1242" s="629">
        <v>0.14899999999999999</v>
      </c>
      <c r="D1242" s="157"/>
      <c r="E1242" s="158"/>
      <c r="F1242" s="129"/>
    </row>
    <row r="1243" spans="1:6" ht="12" customHeight="1">
      <c r="A1243" s="423">
        <v>9.5500000000000007</v>
      </c>
      <c r="B1243" s="629">
        <v>0.14899999999999999</v>
      </c>
      <c r="D1243" s="157"/>
      <c r="E1243" s="158"/>
      <c r="F1243" s="129"/>
    </row>
    <row r="1244" spans="1:6" ht="12" customHeight="1">
      <c r="A1244" s="423">
        <v>9.56</v>
      </c>
      <c r="B1244" s="629">
        <v>0.14899999999999999</v>
      </c>
      <c r="D1244" s="157"/>
      <c r="E1244" s="158"/>
      <c r="F1244" s="129"/>
    </row>
    <row r="1245" spans="1:6" ht="12" customHeight="1">
      <c r="A1245" s="423">
        <v>9.57</v>
      </c>
      <c r="B1245" s="629">
        <v>0.1489</v>
      </c>
      <c r="D1245" s="157"/>
      <c r="E1245" s="158"/>
      <c r="F1245" s="129"/>
    </row>
    <row r="1246" spans="1:6" ht="12" customHeight="1">
      <c r="A1246" s="423">
        <v>9.58</v>
      </c>
      <c r="B1246" s="629">
        <v>0.1489</v>
      </c>
      <c r="D1246" s="157"/>
      <c r="E1246" s="158"/>
      <c r="F1246" s="129"/>
    </row>
    <row r="1247" spans="1:6" ht="12" customHeight="1">
      <c r="A1247" s="423">
        <v>9.59</v>
      </c>
      <c r="B1247" s="629">
        <v>0.1489</v>
      </c>
      <c r="D1247" s="157"/>
      <c r="E1247" s="158"/>
      <c r="F1247" s="129"/>
    </row>
    <row r="1248" spans="1:6" ht="12" customHeight="1">
      <c r="A1248" s="423">
        <v>9.6</v>
      </c>
      <c r="B1248" s="629">
        <v>0.14879999999999999</v>
      </c>
      <c r="D1248" s="157"/>
      <c r="E1248" s="158"/>
      <c r="F1248" s="129"/>
    </row>
    <row r="1249" spans="1:6" ht="12" customHeight="1">
      <c r="A1249" s="423">
        <v>9.61</v>
      </c>
      <c r="B1249" s="629">
        <v>0.14879999999999999</v>
      </c>
      <c r="D1249" s="157"/>
      <c r="E1249" s="158"/>
      <c r="F1249" s="129"/>
    </row>
    <row r="1250" spans="1:6" ht="12" customHeight="1">
      <c r="A1250" s="423">
        <v>9.6199999999999992</v>
      </c>
      <c r="B1250" s="629">
        <v>0.14879999999999999</v>
      </c>
      <c r="D1250" s="157"/>
      <c r="E1250" s="158"/>
      <c r="F1250" s="129"/>
    </row>
    <row r="1251" spans="1:6" ht="12" customHeight="1">
      <c r="A1251" s="423">
        <v>9.6300000000000008</v>
      </c>
      <c r="B1251" s="629">
        <v>0.1487</v>
      </c>
      <c r="D1251" s="157"/>
      <c r="E1251" s="158"/>
      <c r="F1251" s="129"/>
    </row>
    <row r="1252" spans="1:6" ht="12" customHeight="1">
      <c r="A1252" s="423">
        <v>9.64</v>
      </c>
      <c r="B1252" s="629">
        <v>0.1487</v>
      </c>
      <c r="D1252" s="157"/>
      <c r="E1252" s="158"/>
      <c r="F1252" s="129"/>
    </row>
    <row r="1253" spans="1:6" ht="12" customHeight="1">
      <c r="A1253" s="423">
        <v>9.65</v>
      </c>
      <c r="B1253" s="629">
        <v>0.1487</v>
      </c>
      <c r="D1253" s="157"/>
      <c r="E1253" s="158"/>
      <c r="F1253" s="129"/>
    </row>
    <row r="1254" spans="1:6" ht="12" customHeight="1">
      <c r="A1254" s="423">
        <v>9.66</v>
      </c>
      <c r="B1254" s="629">
        <v>0.14860000000000001</v>
      </c>
      <c r="D1254" s="157"/>
      <c r="E1254" s="158"/>
      <c r="F1254" s="129"/>
    </row>
    <row r="1255" spans="1:6" ht="12" customHeight="1">
      <c r="A1255" s="423">
        <v>9.67</v>
      </c>
      <c r="B1255" s="629">
        <v>0.14860000000000001</v>
      </c>
      <c r="D1255" s="157"/>
      <c r="E1255" s="158"/>
      <c r="F1255" s="129"/>
    </row>
    <row r="1256" spans="1:6" ht="12" customHeight="1">
      <c r="A1256" s="423">
        <v>9.68</v>
      </c>
      <c r="B1256" s="629">
        <v>0.14860000000000001</v>
      </c>
      <c r="D1256" s="157"/>
      <c r="E1256" s="158"/>
      <c r="F1256" s="129"/>
    </row>
    <row r="1257" spans="1:6" ht="12" customHeight="1">
      <c r="A1257" s="423">
        <v>9.69</v>
      </c>
      <c r="B1257" s="629">
        <v>0.14849999999999999</v>
      </c>
      <c r="D1257" s="157"/>
      <c r="E1257" s="158"/>
      <c r="F1257" s="129"/>
    </row>
    <row r="1258" spans="1:6" ht="12" customHeight="1">
      <c r="A1258" s="423">
        <v>9.6999999999999993</v>
      </c>
      <c r="B1258" s="629">
        <v>0.14849999999999999</v>
      </c>
      <c r="D1258" s="157"/>
      <c r="E1258" s="158"/>
      <c r="F1258" s="129"/>
    </row>
    <row r="1259" spans="1:6" ht="12" customHeight="1">
      <c r="A1259" s="423">
        <v>9.7100000000000009</v>
      </c>
      <c r="B1259" s="629">
        <v>0.14849999999999999</v>
      </c>
      <c r="D1259" s="157"/>
      <c r="E1259" s="158"/>
      <c r="F1259" s="129"/>
    </row>
    <row r="1260" spans="1:6" ht="12" customHeight="1">
      <c r="A1260" s="423">
        <v>9.7200000000000006</v>
      </c>
      <c r="B1260" s="629">
        <v>0.1484</v>
      </c>
      <c r="D1260" s="157"/>
      <c r="E1260" s="158"/>
      <c r="F1260" s="129"/>
    </row>
    <row r="1261" spans="1:6" ht="12" customHeight="1">
      <c r="A1261" s="423">
        <v>9.73</v>
      </c>
      <c r="B1261" s="629">
        <v>0.1484</v>
      </c>
      <c r="D1261" s="716"/>
      <c r="E1261" s="158"/>
      <c r="F1261" s="129"/>
    </row>
    <row r="1262" spans="1:6" ht="12" customHeight="1">
      <c r="A1262" s="625"/>
      <c r="B1262" s="629"/>
      <c r="D1262" s="132" t="s">
        <v>661</v>
      </c>
      <c r="E1262" s="158"/>
      <c r="F1262" s="129"/>
    </row>
    <row r="1263" spans="1:6" ht="12" customHeight="1">
      <c r="A1263" s="625"/>
      <c r="B1263" s="629"/>
      <c r="D1263" s="157"/>
      <c r="E1263" s="158"/>
      <c r="F1263" s="129"/>
    </row>
    <row r="1264" spans="1:6" ht="12" customHeight="1">
      <c r="A1264" s="625"/>
      <c r="B1264" s="629"/>
      <c r="D1264" s="157"/>
      <c r="E1264" s="158"/>
      <c r="F1264" s="129"/>
    </row>
    <row r="1265" spans="1:6" ht="12" customHeight="1">
      <c r="A1265" s="625"/>
      <c r="B1265" s="629"/>
      <c r="D1265" s="157"/>
      <c r="E1265" s="158"/>
      <c r="F1265" s="129"/>
    </row>
    <row r="1266" spans="1:6" ht="12" customHeight="1">
      <c r="A1266" s="625"/>
      <c r="B1266" s="629"/>
      <c r="D1266" s="157"/>
      <c r="E1266" s="158"/>
      <c r="F1266" s="129"/>
    </row>
    <row r="1267" spans="1:6" ht="12" customHeight="1">
      <c r="A1267" s="625"/>
      <c r="B1267" s="629"/>
      <c r="D1267" s="157"/>
      <c r="E1267" s="158"/>
      <c r="F1267" s="129"/>
    </row>
    <row r="1268" spans="1:6" ht="12" customHeight="1">
      <c r="A1268" s="625"/>
      <c r="B1268" s="629"/>
      <c r="D1268" s="157"/>
      <c r="E1268" s="158"/>
      <c r="F1268" s="129"/>
    </row>
    <row r="1269" spans="1:6" ht="12" customHeight="1">
      <c r="A1269" s="625"/>
      <c r="B1269" s="629"/>
      <c r="D1269" s="157"/>
      <c r="E1269" s="158"/>
      <c r="F1269" s="129"/>
    </row>
    <row r="1270" spans="1:6" ht="12" customHeight="1">
      <c r="A1270" s="625"/>
      <c r="B1270" s="629"/>
      <c r="D1270" s="157"/>
      <c r="E1270" s="158"/>
      <c r="F1270" s="129"/>
    </row>
    <row r="1271" spans="1:6" ht="12" customHeight="1">
      <c r="A1271" s="625"/>
      <c r="B1271" s="629"/>
      <c r="D1271" s="157"/>
      <c r="E1271" s="158"/>
      <c r="F1271" s="129"/>
    </row>
    <row r="1272" spans="1:6" ht="12" customHeight="1">
      <c r="A1272" s="625"/>
      <c r="B1272" s="629"/>
      <c r="D1272" s="157"/>
      <c r="E1272" s="158"/>
      <c r="F1272" s="129"/>
    </row>
    <row r="1273" spans="1:6" ht="12" customHeight="1">
      <c r="A1273" s="625"/>
      <c r="B1273" s="629"/>
      <c r="D1273" s="157"/>
      <c r="E1273" s="158"/>
      <c r="F1273" s="129"/>
    </row>
    <row r="1274" spans="1:6" ht="12" customHeight="1">
      <c r="A1274" s="625"/>
      <c r="B1274" s="629"/>
      <c r="D1274" s="157"/>
      <c r="E1274" s="158"/>
      <c r="F1274" s="129"/>
    </row>
    <row r="1275" spans="1:6" ht="12" customHeight="1">
      <c r="A1275" s="625"/>
      <c r="B1275" s="629"/>
      <c r="D1275" s="157"/>
      <c r="E1275" s="158"/>
      <c r="F1275" s="129"/>
    </row>
    <row r="1276" spans="1:6" ht="12" customHeight="1">
      <c r="A1276" s="625"/>
      <c r="B1276" s="629"/>
      <c r="D1276" s="157"/>
      <c r="E1276" s="158"/>
      <c r="F1276" s="129"/>
    </row>
    <row r="1277" spans="1:6" ht="12" customHeight="1">
      <c r="A1277" s="625"/>
      <c r="B1277" s="629"/>
      <c r="D1277" s="157"/>
      <c r="E1277" s="158"/>
      <c r="F1277" s="129"/>
    </row>
    <row r="1278" spans="1:6" ht="12" customHeight="1">
      <c r="A1278" s="625"/>
      <c r="B1278" s="629"/>
      <c r="D1278" s="157"/>
      <c r="E1278" s="158"/>
      <c r="F1278" s="129"/>
    </row>
    <row r="1279" spans="1:6" ht="12" customHeight="1">
      <c r="A1279" s="625"/>
      <c r="B1279" s="629"/>
      <c r="D1279" s="157"/>
      <c r="E1279" s="158"/>
      <c r="F1279" s="129"/>
    </row>
    <row r="1280" spans="1:6" ht="12" customHeight="1">
      <c r="A1280" s="625"/>
      <c r="B1280" s="629"/>
      <c r="D1280" s="157"/>
      <c r="E1280" s="158"/>
      <c r="F1280" s="129"/>
    </row>
    <row r="1281" spans="1:6" ht="12" customHeight="1">
      <c r="A1281" s="625"/>
      <c r="B1281" s="629"/>
      <c r="D1281" s="157"/>
      <c r="E1281" s="158"/>
      <c r="F1281" s="129"/>
    </row>
    <row r="1282" spans="1:6" ht="12" customHeight="1">
      <c r="A1282" s="625"/>
      <c r="B1282" s="629"/>
      <c r="D1282" s="157"/>
      <c r="E1282" s="158"/>
      <c r="F1282" s="129"/>
    </row>
    <row r="1283" spans="1:6" ht="12" customHeight="1">
      <c r="A1283" s="625"/>
      <c r="B1283" s="629"/>
      <c r="D1283" s="157"/>
      <c r="E1283" s="158"/>
      <c r="F1283" s="129"/>
    </row>
    <row r="1284" spans="1:6" ht="12" customHeight="1">
      <c r="A1284" s="625"/>
      <c r="B1284" s="629"/>
      <c r="D1284" s="157"/>
      <c r="E1284" s="158"/>
      <c r="F1284" s="129"/>
    </row>
    <row r="1285" spans="1:6" ht="12" customHeight="1">
      <c r="A1285" s="625"/>
      <c r="B1285" s="629"/>
      <c r="D1285" s="157"/>
      <c r="E1285" s="158"/>
      <c r="F1285" s="129"/>
    </row>
    <row r="1286" spans="1:6" ht="12" customHeight="1">
      <c r="A1286" s="625"/>
      <c r="B1286" s="629"/>
      <c r="D1286" s="157"/>
      <c r="E1286" s="158"/>
      <c r="F1286" s="129"/>
    </row>
    <row r="1287" spans="1:6" ht="12" customHeight="1">
      <c r="A1287" s="625"/>
      <c r="B1287" s="629"/>
      <c r="D1287" s="157"/>
      <c r="E1287" s="158"/>
      <c r="F1287" s="129"/>
    </row>
    <row r="1288" spans="1:6" ht="12" customHeight="1">
      <c r="A1288" s="625"/>
      <c r="B1288" s="629"/>
      <c r="D1288" s="157"/>
      <c r="E1288" s="158"/>
      <c r="F1288" s="129"/>
    </row>
    <row r="1289" spans="1:6" ht="12" customHeight="1">
      <c r="A1289" s="625"/>
      <c r="B1289" s="629"/>
      <c r="D1289" s="157"/>
      <c r="E1289" s="158"/>
      <c r="F1289" s="129"/>
    </row>
    <row r="1290" spans="1:6" ht="12" customHeight="1">
      <c r="A1290" s="625"/>
      <c r="B1290" s="629"/>
      <c r="D1290" s="157"/>
      <c r="E1290" s="158"/>
      <c r="F1290" s="129"/>
    </row>
    <row r="1291" spans="1:6" ht="12" customHeight="1">
      <c r="A1291" s="625"/>
      <c r="B1291" s="629"/>
      <c r="D1291" s="157"/>
      <c r="E1291" s="158"/>
      <c r="F1291" s="129"/>
    </row>
    <row r="1292" spans="1:6" ht="12" customHeight="1">
      <c r="A1292" s="625"/>
      <c r="B1292" s="629"/>
      <c r="D1292" s="157"/>
      <c r="E1292" s="158"/>
      <c r="F1292" s="129"/>
    </row>
    <row r="1293" spans="1:6" ht="12" customHeight="1">
      <c r="A1293" s="625"/>
      <c r="B1293" s="629"/>
      <c r="D1293" s="157"/>
      <c r="E1293" s="158"/>
      <c r="F1293" s="129"/>
    </row>
    <row r="1294" spans="1:6" ht="12" customHeight="1">
      <c r="A1294" s="625"/>
      <c r="B1294" s="629"/>
      <c r="D1294" s="157"/>
      <c r="E1294" s="158"/>
      <c r="F1294" s="129"/>
    </row>
    <row r="1295" spans="1:6" ht="12" customHeight="1">
      <c r="A1295" s="625"/>
      <c r="B1295" s="629"/>
      <c r="D1295" s="157"/>
      <c r="E1295" s="158"/>
      <c r="F1295" s="129"/>
    </row>
    <row r="1296" spans="1:6" ht="12" customHeight="1">
      <c r="A1296" s="625"/>
      <c r="B1296" s="629"/>
      <c r="D1296" s="157"/>
      <c r="E1296" s="158"/>
      <c r="F1296" s="129"/>
    </row>
    <row r="1297" spans="1:6" ht="12" customHeight="1">
      <c r="A1297" s="625"/>
      <c r="B1297" s="629"/>
      <c r="D1297" s="157"/>
      <c r="E1297" s="158"/>
      <c r="F1297" s="129"/>
    </row>
    <row r="1298" spans="1:6" ht="12" customHeight="1">
      <c r="A1298" s="625"/>
      <c r="B1298" s="629"/>
      <c r="D1298" s="157"/>
      <c r="E1298" s="158"/>
      <c r="F1298" s="129"/>
    </row>
    <row r="1299" spans="1:6" ht="12" customHeight="1">
      <c r="A1299" s="625"/>
      <c r="B1299" s="629"/>
      <c r="D1299" s="157"/>
      <c r="E1299" s="158"/>
      <c r="F1299" s="129"/>
    </row>
    <row r="1300" spans="1:6" ht="12" customHeight="1">
      <c r="A1300" s="625"/>
      <c r="B1300" s="629"/>
      <c r="D1300" s="157"/>
      <c r="E1300" s="158"/>
      <c r="F1300" s="129"/>
    </row>
    <row r="1301" spans="1:6" ht="12" customHeight="1">
      <c r="A1301" s="625"/>
      <c r="B1301" s="629"/>
      <c r="D1301" s="157"/>
      <c r="E1301" s="158"/>
      <c r="F1301" s="129"/>
    </row>
    <row r="1302" spans="1:6" ht="12" customHeight="1">
      <c r="A1302" s="625"/>
      <c r="B1302" s="629"/>
      <c r="D1302" s="157"/>
      <c r="E1302" s="158"/>
      <c r="F1302" s="129"/>
    </row>
    <row r="1303" spans="1:6" ht="12" customHeight="1">
      <c r="A1303" s="625"/>
      <c r="B1303" s="629"/>
      <c r="D1303" s="157"/>
      <c r="E1303" s="158"/>
      <c r="F1303" s="129"/>
    </row>
    <row r="1304" spans="1:6" ht="12" customHeight="1">
      <c r="A1304" s="625"/>
      <c r="B1304" s="629"/>
      <c r="D1304" s="157"/>
      <c r="E1304" s="158"/>
      <c r="F1304" s="129"/>
    </row>
    <row r="1305" spans="1:6" ht="12" customHeight="1">
      <c r="A1305" s="625"/>
      <c r="B1305" s="629"/>
      <c r="D1305" s="157"/>
      <c r="E1305" s="158"/>
      <c r="F1305" s="129"/>
    </row>
    <row r="1306" spans="1:6" ht="12" customHeight="1">
      <c r="A1306" s="625"/>
      <c r="B1306" s="629"/>
      <c r="D1306" s="157"/>
      <c r="E1306" s="158"/>
      <c r="F1306" s="129"/>
    </row>
    <row r="1307" spans="1:6" ht="12" customHeight="1">
      <c r="A1307" s="625"/>
      <c r="B1307" s="629"/>
      <c r="D1307" s="157"/>
      <c r="E1307" s="158"/>
      <c r="F1307" s="129"/>
    </row>
    <row r="1308" spans="1:6" ht="12" customHeight="1">
      <c r="A1308" s="625"/>
      <c r="B1308" s="629"/>
      <c r="D1308" s="157"/>
      <c r="E1308" s="158"/>
      <c r="F1308" s="129"/>
    </row>
    <row r="1309" spans="1:6" ht="12" customHeight="1">
      <c r="A1309" s="625"/>
      <c r="B1309" s="629"/>
      <c r="D1309" s="157"/>
      <c r="E1309" s="158"/>
      <c r="F1309" s="129"/>
    </row>
    <row r="1310" spans="1:6" ht="12" customHeight="1">
      <c r="A1310" s="625"/>
      <c r="B1310" s="629"/>
      <c r="D1310" s="157"/>
      <c r="E1310" s="158"/>
      <c r="F1310" s="129"/>
    </row>
    <row r="1311" spans="1:6" ht="12" customHeight="1">
      <c r="A1311" s="625"/>
      <c r="B1311" s="629"/>
      <c r="D1311" s="157"/>
      <c r="E1311" s="158"/>
      <c r="F1311" s="129"/>
    </row>
    <row r="1312" spans="1:6" ht="12" customHeight="1">
      <c r="A1312" s="625"/>
      <c r="B1312" s="629"/>
      <c r="D1312" s="157"/>
      <c r="E1312" s="158"/>
      <c r="F1312" s="129"/>
    </row>
    <row r="1313" spans="1:6" ht="12" customHeight="1">
      <c r="A1313" s="625"/>
      <c r="B1313" s="629"/>
      <c r="D1313" s="157"/>
      <c r="E1313" s="158"/>
      <c r="F1313" s="129"/>
    </row>
    <row r="1314" spans="1:6" ht="12" customHeight="1">
      <c r="A1314" s="625"/>
      <c r="B1314" s="629"/>
      <c r="D1314" s="157"/>
      <c r="E1314" s="158"/>
      <c r="F1314" s="129"/>
    </row>
    <row r="1315" spans="1:6" ht="12" customHeight="1">
      <c r="A1315" s="625"/>
      <c r="B1315" s="629"/>
      <c r="D1315" s="157"/>
      <c r="E1315" s="158"/>
      <c r="F1315" s="129"/>
    </row>
    <row r="1316" spans="1:6" ht="12" customHeight="1">
      <c r="A1316" s="625"/>
      <c r="B1316" s="629"/>
      <c r="D1316" s="157"/>
      <c r="E1316" s="158"/>
      <c r="F1316" s="129"/>
    </row>
    <row r="1317" spans="1:6" ht="12" customHeight="1">
      <c r="A1317" s="625"/>
      <c r="B1317" s="629"/>
      <c r="D1317" s="157"/>
      <c r="E1317" s="158"/>
      <c r="F1317" s="129"/>
    </row>
    <row r="1318" spans="1:6" ht="12" customHeight="1">
      <c r="A1318" s="625"/>
      <c r="B1318" s="629"/>
      <c r="D1318" s="157"/>
      <c r="E1318" s="158"/>
      <c r="F1318" s="129"/>
    </row>
    <row r="1319" spans="1:6" ht="12" customHeight="1">
      <c r="A1319" s="625"/>
      <c r="B1319" s="629"/>
      <c r="D1319" s="157"/>
      <c r="E1319" s="158"/>
      <c r="F1319" s="129"/>
    </row>
    <row r="1320" spans="1:6" ht="12" customHeight="1">
      <c r="A1320" s="625"/>
      <c r="B1320" s="629"/>
      <c r="D1320" s="157"/>
      <c r="E1320" s="158"/>
      <c r="F1320" s="129"/>
    </row>
    <row r="1321" spans="1:6" ht="12" customHeight="1">
      <c r="A1321" s="625"/>
      <c r="B1321" s="629"/>
      <c r="D1321" s="157"/>
      <c r="E1321" s="158"/>
      <c r="F1321" s="129"/>
    </row>
    <row r="1322" spans="1:6" ht="12" customHeight="1">
      <c r="A1322" s="625"/>
      <c r="B1322" s="629"/>
      <c r="D1322" s="157"/>
      <c r="E1322" s="158"/>
      <c r="F1322" s="129"/>
    </row>
    <row r="1323" spans="1:6" ht="12" customHeight="1">
      <c r="A1323" s="625"/>
      <c r="B1323" s="629"/>
      <c r="D1323" s="157"/>
      <c r="E1323" s="158"/>
      <c r="F1323" s="129"/>
    </row>
    <row r="1324" spans="1:6" ht="12" customHeight="1">
      <c r="A1324" s="625"/>
      <c r="B1324" s="629"/>
      <c r="D1324" s="157"/>
      <c r="E1324" s="158"/>
      <c r="F1324" s="129"/>
    </row>
    <row r="1325" spans="1:6" ht="12" customHeight="1">
      <c r="A1325" s="625"/>
      <c r="B1325" s="629"/>
      <c r="D1325" s="157"/>
      <c r="E1325" s="158"/>
      <c r="F1325" s="129"/>
    </row>
    <row r="1326" spans="1:6" ht="12" customHeight="1">
      <c r="A1326" s="625"/>
      <c r="B1326" s="629"/>
      <c r="D1326" s="157"/>
      <c r="E1326" s="158"/>
      <c r="F1326" s="129"/>
    </row>
    <row r="1327" spans="1:6" ht="12" customHeight="1">
      <c r="A1327" s="625"/>
      <c r="B1327" s="629"/>
      <c r="D1327" s="157"/>
      <c r="E1327" s="158"/>
      <c r="F1327" s="129"/>
    </row>
    <row r="1328" spans="1:6" ht="12" customHeight="1">
      <c r="A1328" s="625"/>
      <c r="B1328" s="629"/>
      <c r="D1328" s="157"/>
      <c r="E1328" s="158"/>
      <c r="F1328" s="129"/>
    </row>
    <row r="1329" spans="1:6" ht="12" customHeight="1">
      <c r="A1329" s="625"/>
      <c r="B1329" s="629"/>
      <c r="D1329" s="157"/>
      <c r="E1329" s="158"/>
      <c r="F1329" s="129"/>
    </row>
    <row r="1330" spans="1:6" ht="12" customHeight="1">
      <c r="A1330" s="625"/>
      <c r="B1330" s="629"/>
      <c r="D1330" s="157"/>
      <c r="E1330" s="158"/>
      <c r="F1330" s="129"/>
    </row>
    <row r="1331" spans="1:6" ht="12" customHeight="1">
      <c r="A1331" s="625"/>
      <c r="B1331" s="629"/>
      <c r="D1331" s="157"/>
      <c r="E1331" s="158"/>
      <c r="F1331" s="129"/>
    </row>
    <row r="1332" spans="1:6" ht="12" customHeight="1">
      <c r="A1332" s="625"/>
      <c r="B1332" s="629"/>
      <c r="D1332" s="157"/>
      <c r="E1332" s="158"/>
      <c r="F1332" s="129"/>
    </row>
    <row r="1333" spans="1:6" ht="12" customHeight="1">
      <c r="A1333" s="625"/>
      <c r="B1333" s="629"/>
      <c r="D1333" s="157"/>
      <c r="E1333" s="158"/>
      <c r="F1333" s="129"/>
    </row>
    <row r="1334" spans="1:6" ht="12" customHeight="1">
      <c r="A1334" s="625"/>
      <c r="B1334" s="629"/>
      <c r="D1334" s="157"/>
      <c r="E1334" s="158"/>
      <c r="F1334" s="129"/>
    </row>
    <row r="1335" spans="1:6" ht="12" customHeight="1">
      <c r="A1335" s="625"/>
      <c r="B1335" s="629"/>
      <c r="D1335" s="157"/>
      <c r="E1335" s="158"/>
      <c r="F1335" s="129"/>
    </row>
    <row r="1336" spans="1:6" ht="12" customHeight="1">
      <c r="A1336" s="625"/>
      <c r="B1336" s="629"/>
      <c r="D1336" s="157"/>
      <c r="E1336" s="158"/>
      <c r="F1336" s="129"/>
    </row>
    <row r="1337" spans="1:6" ht="12" customHeight="1">
      <c r="A1337" s="625"/>
      <c r="B1337" s="629"/>
      <c r="D1337" s="157"/>
      <c r="E1337" s="158"/>
      <c r="F1337" s="129"/>
    </row>
    <row r="1338" spans="1:6" ht="12" customHeight="1">
      <c r="A1338" s="625"/>
      <c r="B1338" s="629"/>
      <c r="D1338" s="157"/>
      <c r="E1338" s="158"/>
      <c r="F1338" s="129"/>
    </row>
    <row r="1339" spans="1:6" ht="12" customHeight="1">
      <c r="A1339" s="625"/>
      <c r="B1339" s="629"/>
      <c r="D1339" s="157"/>
      <c r="E1339" s="158"/>
      <c r="F1339" s="129"/>
    </row>
    <row r="1340" spans="1:6" ht="12" customHeight="1">
      <c r="A1340" s="625"/>
      <c r="B1340" s="629"/>
      <c r="D1340" s="157"/>
      <c r="E1340" s="158"/>
      <c r="F1340" s="129"/>
    </row>
    <row r="1341" spans="1:6" ht="12" customHeight="1">
      <c r="A1341" s="625"/>
      <c r="B1341" s="629"/>
      <c r="D1341" s="157"/>
      <c r="E1341" s="158"/>
      <c r="F1341" s="129"/>
    </row>
    <row r="1342" spans="1:6" ht="12" customHeight="1">
      <c r="A1342" s="625"/>
      <c r="B1342" s="629"/>
      <c r="D1342" s="157"/>
      <c r="E1342" s="158"/>
      <c r="F1342" s="129"/>
    </row>
    <row r="1343" spans="1:6" ht="12" customHeight="1">
      <c r="A1343" s="625"/>
      <c r="B1343" s="629"/>
      <c r="D1343" s="157"/>
      <c r="E1343" s="158"/>
      <c r="F1343" s="129"/>
    </row>
    <row r="1344" spans="1:6" ht="12" customHeight="1">
      <c r="A1344" s="625"/>
      <c r="B1344" s="629"/>
      <c r="D1344" s="157"/>
      <c r="E1344" s="158"/>
      <c r="F1344" s="129"/>
    </row>
    <row r="1345" spans="1:6" ht="12" customHeight="1">
      <c r="A1345" s="625"/>
      <c r="B1345" s="629"/>
      <c r="D1345" s="157"/>
      <c r="E1345" s="158"/>
      <c r="F1345" s="129"/>
    </row>
    <row r="1346" spans="1:6" ht="12" customHeight="1">
      <c r="A1346" s="625"/>
      <c r="B1346" s="629"/>
      <c r="D1346" s="157"/>
      <c r="E1346" s="158"/>
      <c r="F1346" s="129"/>
    </row>
    <row r="1347" spans="1:6" ht="12" customHeight="1">
      <c r="A1347" s="625"/>
      <c r="B1347" s="629"/>
      <c r="D1347" s="157"/>
      <c r="E1347" s="158"/>
      <c r="F1347" s="129"/>
    </row>
    <row r="1348" spans="1:6" ht="12" customHeight="1">
      <c r="A1348" s="625"/>
      <c r="B1348" s="629"/>
      <c r="D1348" s="157"/>
      <c r="E1348" s="158"/>
      <c r="F1348" s="129"/>
    </row>
    <row r="1349" spans="1:6" ht="12" customHeight="1">
      <c r="A1349" s="625"/>
      <c r="B1349" s="629"/>
      <c r="D1349" s="157"/>
      <c r="E1349" s="158"/>
      <c r="F1349" s="129"/>
    </row>
    <row r="1350" spans="1:6" ht="12" customHeight="1">
      <c r="A1350" s="625"/>
      <c r="B1350" s="629"/>
      <c r="D1350" s="157"/>
      <c r="E1350" s="158"/>
      <c r="F1350" s="129"/>
    </row>
    <row r="1351" spans="1:6" ht="12" customHeight="1">
      <c r="A1351" s="625"/>
      <c r="B1351" s="629"/>
      <c r="D1351" s="157"/>
      <c r="E1351" s="158"/>
      <c r="F1351" s="129"/>
    </row>
    <row r="1352" spans="1:6" ht="12" customHeight="1">
      <c r="A1352" s="625"/>
      <c r="B1352" s="629"/>
      <c r="D1352" s="157"/>
      <c r="E1352" s="158"/>
      <c r="F1352" s="129"/>
    </row>
    <row r="1353" spans="1:6" ht="12" customHeight="1">
      <c r="A1353" s="625"/>
      <c r="B1353" s="629"/>
      <c r="D1353" s="157"/>
      <c r="E1353" s="158"/>
      <c r="F1353" s="129"/>
    </row>
    <row r="1354" spans="1:6" ht="12" customHeight="1">
      <c r="A1354" s="625"/>
      <c r="B1354" s="629"/>
      <c r="D1354" s="157"/>
      <c r="E1354" s="158"/>
      <c r="F1354" s="129"/>
    </row>
    <row r="1355" spans="1:6" ht="12" customHeight="1">
      <c r="A1355" s="625"/>
      <c r="B1355" s="629"/>
      <c r="D1355" s="157"/>
      <c r="E1355" s="158"/>
      <c r="F1355" s="129"/>
    </row>
    <row r="1356" spans="1:6" ht="12" customHeight="1">
      <c r="A1356" s="625"/>
      <c r="B1356" s="629"/>
      <c r="D1356" s="157"/>
      <c r="E1356" s="158"/>
      <c r="F1356" s="129"/>
    </row>
    <row r="1357" spans="1:6" ht="12" customHeight="1">
      <c r="A1357" s="625"/>
      <c r="B1357" s="629"/>
      <c r="D1357" s="157"/>
      <c r="E1357" s="158"/>
      <c r="F1357" s="129"/>
    </row>
    <row r="1358" spans="1:6" ht="12" customHeight="1">
      <c r="A1358" s="625"/>
      <c r="B1358" s="629"/>
      <c r="D1358" s="157"/>
      <c r="E1358" s="158"/>
      <c r="F1358" s="129"/>
    </row>
    <row r="1359" spans="1:6" ht="12" customHeight="1">
      <c r="A1359" s="625"/>
      <c r="B1359" s="629"/>
      <c r="D1359" s="157"/>
      <c r="E1359" s="158"/>
      <c r="F1359" s="129"/>
    </row>
    <row r="1360" spans="1:6" ht="12" customHeight="1">
      <c r="A1360" s="625"/>
      <c r="B1360" s="629"/>
      <c r="D1360" s="157"/>
      <c r="E1360" s="158"/>
      <c r="F1360" s="129"/>
    </row>
    <row r="1361" spans="1:6" ht="12" customHeight="1">
      <c r="A1361" s="625"/>
      <c r="B1361" s="629"/>
      <c r="D1361" s="157"/>
      <c r="E1361" s="158"/>
      <c r="F1361" s="129"/>
    </row>
    <row r="1362" spans="1:6" ht="12" customHeight="1">
      <c r="A1362" s="625"/>
      <c r="B1362" s="629"/>
      <c r="D1362" s="157"/>
      <c r="E1362" s="158"/>
      <c r="F1362" s="129"/>
    </row>
    <row r="1363" spans="1:6" ht="12" customHeight="1">
      <c r="A1363" s="625"/>
      <c r="B1363" s="629"/>
      <c r="D1363" s="157"/>
      <c r="E1363" s="158"/>
      <c r="F1363" s="129"/>
    </row>
    <row r="1364" spans="1:6" ht="12" customHeight="1">
      <c r="A1364" s="625"/>
      <c r="B1364" s="629"/>
      <c r="D1364" s="157"/>
      <c r="E1364" s="158"/>
      <c r="F1364" s="129"/>
    </row>
    <row r="1365" spans="1:6" ht="12" customHeight="1">
      <c r="A1365" s="625"/>
      <c r="B1365" s="629"/>
      <c r="D1365" s="157"/>
      <c r="E1365" s="158"/>
      <c r="F1365" s="129"/>
    </row>
    <row r="1366" spans="1:6" ht="12" customHeight="1">
      <c r="A1366" s="625"/>
      <c r="B1366" s="629"/>
      <c r="D1366" s="157"/>
      <c r="E1366" s="158"/>
      <c r="F1366" s="129"/>
    </row>
    <row r="1367" spans="1:6" ht="12" customHeight="1">
      <c r="A1367" s="625"/>
      <c r="B1367" s="629"/>
      <c r="D1367" s="157"/>
      <c r="E1367" s="158"/>
      <c r="F1367" s="129"/>
    </row>
    <row r="1368" spans="1:6" ht="12" customHeight="1">
      <c r="A1368" s="625"/>
      <c r="B1368" s="629"/>
      <c r="D1368" s="157"/>
      <c r="E1368" s="158"/>
      <c r="F1368" s="129"/>
    </row>
    <row r="1369" spans="1:6" ht="12" customHeight="1">
      <c r="A1369" s="625"/>
      <c r="B1369" s="629"/>
      <c r="D1369" s="157"/>
      <c r="E1369" s="158"/>
      <c r="F1369" s="129"/>
    </row>
    <row r="1370" spans="1:6" ht="12" customHeight="1">
      <c r="A1370" s="625"/>
      <c r="B1370" s="629"/>
      <c r="D1370" s="157"/>
      <c r="E1370" s="158"/>
      <c r="F1370" s="129"/>
    </row>
    <row r="1371" spans="1:6" ht="12" customHeight="1">
      <c r="A1371" s="625"/>
      <c r="B1371" s="629"/>
      <c r="D1371" s="157"/>
      <c r="E1371" s="158"/>
      <c r="F1371" s="129"/>
    </row>
    <row r="1372" spans="1:6" ht="12" customHeight="1">
      <c r="A1372" s="625"/>
      <c r="B1372" s="629"/>
      <c r="D1372" s="157"/>
      <c r="E1372" s="158"/>
      <c r="F1372" s="129"/>
    </row>
    <row r="1373" spans="1:6" ht="12" customHeight="1">
      <c r="A1373" s="625"/>
      <c r="B1373" s="629"/>
      <c r="D1373" s="157"/>
      <c r="E1373" s="158"/>
      <c r="F1373" s="129"/>
    </row>
    <row r="1374" spans="1:6" ht="12" customHeight="1">
      <c r="A1374" s="625"/>
      <c r="B1374" s="629"/>
      <c r="D1374" s="157"/>
      <c r="E1374" s="158"/>
      <c r="F1374" s="129"/>
    </row>
    <row r="1375" spans="1:6" ht="12" customHeight="1">
      <c r="A1375" s="625"/>
      <c r="B1375" s="629"/>
      <c r="D1375" s="157"/>
      <c r="E1375" s="158"/>
      <c r="F1375" s="129"/>
    </row>
    <row r="1376" spans="1:6" ht="12" customHeight="1">
      <c r="A1376" s="625"/>
      <c r="B1376" s="629"/>
      <c r="D1376" s="157"/>
      <c r="E1376" s="158"/>
      <c r="F1376" s="129"/>
    </row>
    <row r="1377" spans="1:6" ht="12" customHeight="1">
      <c r="A1377" s="625"/>
      <c r="B1377" s="629"/>
      <c r="D1377" s="157"/>
      <c r="E1377" s="158"/>
      <c r="F1377" s="129"/>
    </row>
    <row r="1378" spans="1:6" ht="12" customHeight="1">
      <c r="A1378" s="625"/>
      <c r="B1378" s="629"/>
      <c r="D1378" s="157"/>
      <c r="E1378" s="158"/>
      <c r="F1378" s="129"/>
    </row>
    <row r="1379" spans="1:6" ht="12" customHeight="1">
      <c r="A1379" s="625"/>
      <c r="B1379" s="629"/>
      <c r="D1379" s="157"/>
      <c r="E1379" s="158"/>
      <c r="F1379" s="129"/>
    </row>
    <row r="1380" spans="1:6" ht="12" customHeight="1">
      <c r="A1380" s="625"/>
      <c r="B1380" s="629"/>
      <c r="D1380" s="157"/>
      <c r="E1380" s="158"/>
      <c r="F1380" s="129"/>
    </row>
    <row r="1381" spans="1:6" ht="12" customHeight="1">
      <c r="A1381" s="625"/>
      <c r="B1381" s="629"/>
      <c r="D1381" s="157"/>
      <c r="E1381" s="158"/>
      <c r="F1381" s="129"/>
    </row>
    <row r="1382" spans="1:6" ht="12" customHeight="1">
      <c r="A1382" s="625"/>
      <c r="B1382" s="629"/>
      <c r="D1382" s="157"/>
      <c r="E1382" s="158"/>
      <c r="F1382" s="129"/>
    </row>
    <row r="1383" spans="1:6" ht="12" customHeight="1">
      <c r="A1383" s="625"/>
      <c r="B1383" s="629"/>
      <c r="D1383" s="157"/>
      <c r="E1383" s="158"/>
      <c r="F1383" s="129"/>
    </row>
    <row r="1384" spans="1:6" ht="12" customHeight="1">
      <c r="A1384" s="625"/>
      <c r="B1384" s="629"/>
      <c r="D1384" s="157"/>
      <c r="E1384" s="158"/>
      <c r="F1384" s="129"/>
    </row>
    <row r="1385" spans="1:6" ht="12" customHeight="1">
      <c r="A1385" s="625"/>
      <c r="B1385" s="629"/>
      <c r="D1385" s="157"/>
      <c r="E1385" s="158"/>
      <c r="F1385" s="129"/>
    </row>
    <row r="1386" spans="1:6" ht="12" customHeight="1">
      <c r="A1386" s="625"/>
      <c r="B1386" s="629"/>
      <c r="D1386" s="157"/>
      <c r="E1386" s="158"/>
      <c r="F1386" s="129"/>
    </row>
    <row r="1387" spans="1:6" ht="12" customHeight="1">
      <c r="A1387" s="625"/>
      <c r="B1387" s="629"/>
      <c r="D1387" s="157"/>
      <c r="E1387" s="158"/>
      <c r="F1387" s="129"/>
    </row>
    <row r="1388" spans="1:6" ht="12" customHeight="1">
      <c r="A1388" s="625"/>
      <c r="B1388" s="629"/>
      <c r="D1388" s="157"/>
      <c r="E1388" s="158"/>
      <c r="F1388" s="129"/>
    </row>
    <row r="1389" spans="1:6" ht="12" customHeight="1">
      <c r="A1389" s="625"/>
      <c r="B1389" s="629"/>
      <c r="D1389" s="157"/>
      <c r="E1389" s="158"/>
      <c r="F1389" s="129"/>
    </row>
    <row r="1390" spans="1:6" ht="12" customHeight="1">
      <c r="A1390" s="625"/>
      <c r="B1390" s="629"/>
      <c r="D1390" s="157"/>
      <c r="E1390" s="158"/>
      <c r="F1390" s="129"/>
    </row>
    <row r="1391" spans="1:6" ht="12" customHeight="1">
      <c r="A1391" s="625"/>
      <c r="B1391" s="629"/>
      <c r="D1391" s="157"/>
      <c r="E1391" s="158"/>
      <c r="F1391" s="129"/>
    </row>
    <row r="1392" spans="1:6" ht="12" customHeight="1">
      <c r="A1392" s="625"/>
      <c r="B1392" s="629"/>
      <c r="D1392" s="157"/>
      <c r="E1392" s="158"/>
      <c r="F1392" s="129"/>
    </row>
    <row r="1393" spans="1:6" ht="12" customHeight="1">
      <c r="A1393" s="625"/>
      <c r="B1393" s="629"/>
      <c r="D1393" s="157"/>
      <c r="E1393" s="158"/>
      <c r="F1393" s="129"/>
    </row>
    <row r="1394" spans="1:6" ht="12" customHeight="1">
      <c r="A1394" s="625"/>
      <c r="B1394" s="629"/>
      <c r="D1394" s="157"/>
      <c r="E1394" s="158"/>
      <c r="F1394" s="129"/>
    </row>
    <row r="1395" spans="1:6" ht="12" customHeight="1">
      <c r="A1395" s="625"/>
      <c r="B1395" s="629"/>
      <c r="D1395" s="157"/>
      <c r="E1395" s="158"/>
      <c r="F1395" s="129"/>
    </row>
    <row r="1396" spans="1:6" ht="12" customHeight="1">
      <c r="A1396" s="625"/>
      <c r="B1396" s="629"/>
      <c r="D1396" s="157"/>
      <c r="E1396" s="158"/>
      <c r="F1396" s="129"/>
    </row>
    <row r="1397" spans="1:6" ht="12" customHeight="1">
      <c r="A1397" s="625"/>
      <c r="B1397" s="629"/>
      <c r="D1397" s="157"/>
      <c r="E1397" s="158"/>
      <c r="F1397" s="129"/>
    </row>
    <row r="1398" spans="1:6" ht="12" customHeight="1">
      <c r="A1398" s="625"/>
      <c r="B1398" s="629"/>
      <c r="D1398" s="157"/>
      <c r="E1398" s="158"/>
      <c r="F1398" s="129"/>
    </row>
    <row r="1399" spans="1:6" ht="12" customHeight="1">
      <c r="A1399" s="625"/>
      <c r="B1399" s="629"/>
      <c r="D1399" s="157"/>
      <c r="E1399" s="158"/>
      <c r="F1399" s="129"/>
    </row>
    <row r="1400" spans="1:6" ht="12" customHeight="1">
      <c r="A1400" s="625"/>
      <c r="B1400" s="629"/>
      <c r="D1400" s="157"/>
      <c r="E1400" s="158"/>
      <c r="F1400" s="129"/>
    </row>
    <row r="1401" spans="1:6" ht="12" customHeight="1">
      <c r="A1401" s="625"/>
      <c r="B1401" s="629"/>
      <c r="D1401" s="157"/>
      <c r="E1401" s="158"/>
      <c r="F1401" s="129"/>
    </row>
    <row r="1402" spans="1:6" ht="12" customHeight="1">
      <c r="A1402" s="625"/>
      <c r="B1402" s="629"/>
      <c r="D1402" s="157"/>
      <c r="E1402" s="158"/>
      <c r="F1402" s="129"/>
    </row>
    <row r="1403" spans="1:6" ht="12" customHeight="1">
      <c r="A1403" s="625"/>
      <c r="B1403" s="629"/>
      <c r="D1403" s="157"/>
      <c r="E1403" s="158"/>
      <c r="F1403" s="129"/>
    </row>
    <row r="1404" spans="1:6" ht="12" customHeight="1">
      <c r="A1404" s="625"/>
      <c r="B1404" s="629"/>
      <c r="D1404" s="157"/>
      <c r="E1404" s="158"/>
      <c r="F1404" s="129"/>
    </row>
    <row r="1405" spans="1:6" ht="12" customHeight="1">
      <c r="A1405" s="625"/>
      <c r="B1405" s="629"/>
      <c r="D1405" s="157"/>
      <c r="E1405" s="158"/>
      <c r="F1405" s="129"/>
    </row>
    <row r="1406" spans="1:6" ht="12" customHeight="1">
      <c r="A1406" s="625"/>
      <c r="B1406" s="629"/>
      <c r="D1406" s="157"/>
      <c r="E1406" s="158"/>
      <c r="F1406" s="129"/>
    </row>
    <row r="1407" spans="1:6" ht="12" customHeight="1">
      <c r="A1407" s="625"/>
      <c r="B1407" s="629"/>
      <c r="D1407" s="157"/>
      <c r="E1407" s="158"/>
      <c r="F1407" s="129"/>
    </row>
    <row r="1408" spans="1:6" ht="12" customHeight="1">
      <c r="A1408" s="625"/>
      <c r="B1408" s="629"/>
      <c r="D1408" s="157"/>
      <c r="E1408" s="158"/>
      <c r="F1408" s="129"/>
    </row>
    <row r="1409" spans="1:6" ht="12" customHeight="1">
      <c r="A1409" s="625"/>
      <c r="B1409" s="629"/>
      <c r="D1409" s="157"/>
      <c r="E1409" s="158"/>
      <c r="F1409" s="129"/>
    </row>
    <row r="1410" spans="1:6" ht="12" customHeight="1">
      <c r="A1410" s="625"/>
      <c r="B1410" s="629"/>
      <c r="D1410" s="157"/>
      <c r="E1410" s="158"/>
      <c r="F1410" s="129"/>
    </row>
    <row r="1411" spans="1:6" ht="12" customHeight="1">
      <c r="A1411" s="625"/>
      <c r="B1411" s="629"/>
      <c r="D1411" s="157"/>
      <c r="E1411" s="158"/>
      <c r="F1411" s="129"/>
    </row>
    <row r="1412" spans="1:6" ht="12" customHeight="1">
      <c r="A1412" s="625"/>
      <c r="B1412" s="629"/>
      <c r="D1412" s="157"/>
      <c r="E1412" s="158"/>
      <c r="F1412" s="129"/>
    </row>
    <row r="1413" spans="1:6" ht="12" customHeight="1">
      <c r="A1413" s="625"/>
      <c r="B1413" s="629"/>
      <c r="D1413" s="157"/>
      <c r="E1413" s="158"/>
      <c r="F1413" s="129"/>
    </row>
    <row r="1414" spans="1:6" ht="12" customHeight="1">
      <c r="A1414" s="625"/>
      <c r="B1414" s="629"/>
      <c r="D1414" s="157"/>
      <c r="E1414" s="158"/>
      <c r="F1414" s="129"/>
    </row>
    <row r="1415" spans="1:6" ht="12" customHeight="1">
      <c r="A1415" s="625"/>
      <c r="B1415" s="629"/>
      <c r="D1415" s="157"/>
      <c r="E1415" s="158"/>
      <c r="F1415" s="129"/>
    </row>
    <row r="1416" spans="1:6" ht="12" customHeight="1">
      <c r="A1416" s="625"/>
      <c r="B1416" s="629"/>
      <c r="D1416" s="157"/>
      <c r="E1416" s="158"/>
      <c r="F1416" s="129"/>
    </row>
    <row r="1417" spans="1:6" ht="12" customHeight="1">
      <c r="A1417" s="625"/>
      <c r="B1417" s="629"/>
      <c r="D1417" s="157"/>
      <c r="E1417" s="158"/>
      <c r="F1417" s="129"/>
    </row>
    <row r="1418" spans="1:6" ht="12" customHeight="1">
      <c r="A1418" s="625"/>
      <c r="B1418" s="629"/>
      <c r="D1418" s="157"/>
      <c r="E1418" s="158"/>
      <c r="F1418" s="129"/>
    </row>
    <row r="1419" spans="1:6" ht="12" customHeight="1">
      <c r="A1419" s="625"/>
      <c r="B1419" s="629"/>
      <c r="D1419" s="157"/>
      <c r="E1419" s="158"/>
      <c r="F1419" s="129"/>
    </row>
    <row r="1420" spans="1:6" ht="12" customHeight="1">
      <c r="A1420" s="625"/>
      <c r="B1420" s="629"/>
      <c r="D1420" s="157"/>
      <c r="E1420" s="158"/>
      <c r="F1420" s="129"/>
    </row>
    <row r="1421" spans="1:6" ht="12" customHeight="1">
      <c r="A1421" s="625"/>
      <c r="B1421" s="629"/>
      <c r="D1421" s="157"/>
      <c r="E1421" s="158"/>
      <c r="F1421" s="129"/>
    </row>
    <row r="1422" spans="1:6" ht="12" customHeight="1">
      <c r="A1422" s="625"/>
      <c r="B1422" s="629"/>
      <c r="D1422" s="157"/>
      <c r="E1422" s="158"/>
      <c r="F1422" s="129"/>
    </row>
    <row r="1423" spans="1:6" ht="12" customHeight="1">
      <c r="A1423" s="625"/>
      <c r="B1423" s="629"/>
      <c r="D1423" s="157"/>
      <c r="E1423" s="158"/>
      <c r="F1423" s="129"/>
    </row>
    <row r="1424" spans="1:6" ht="12" customHeight="1">
      <c r="A1424" s="625"/>
      <c r="B1424" s="629"/>
      <c r="D1424" s="157"/>
      <c r="E1424" s="158"/>
      <c r="F1424" s="129"/>
    </row>
    <row r="1425" spans="1:6" ht="12" customHeight="1">
      <c r="A1425" s="625"/>
      <c r="B1425" s="629"/>
      <c r="D1425" s="157"/>
      <c r="E1425" s="158"/>
      <c r="F1425" s="129"/>
    </row>
    <row r="1426" spans="1:6" ht="12" customHeight="1">
      <c r="A1426" s="625"/>
      <c r="B1426" s="629"/>
      <c r="D1426" s="157"/>
      <c r="E1426" s="158"/>
      <c r="F1426" s="129"/>
    </row>
    <row r="1427" spans="1:6" ht="12" customHeight="1">
      <c r="A1427" s="625"/>
      <c r="B1427" s="629"/>
      <c r="D1427" s="157"/>
      <c r="E1427" s="158"/>
      <c r="F1427" s="129"/>
    </row>
    <row r="1428" spans="1:6" ht="12" customHeight="1">
      <c r="A1428" s="625"/>
      <c r="B1428" s="629"/>
      <c r="D1428" s="157"/>
      <c r="E1428" s="158"/>
      <c r="F1428" s="129"/>
    </row>
    <row r="1429" spans="1:6" ht="12" customHeight="1">
      <c r="A1429" s="625"/>
      <c r="B1429" s="629"/>
      <c r="D1429" s="157"/>
      <c r="E1429" s="158"/>
      <c r="F1429" s="129"/>
    </row>
    <row r="1430" spans="1:6" ht="12" customHeight="1">
      <c r="A1430" s="625"/>
      <c r="B1430" s="629"/>
      <c r="D1430" s="157"/>
      <c r="E1430" s="158"/>
      <c r="F1430" s="129"/>
    </row>
    <row r="1431" spans="1:6" ht="12" customHeight="1">
      <c r="A1431" s="625"/>
      <c r="B1431" s="629"/>
      <c r="D1431" s="157"/>
      <c r="E1431" s="158"/>
      <c r="F1431" s="129"/>
    </row>
    <row r="1432" spans="1:6" ht="12" customHeight="1">
      <c r="A1432" s="625"/>
      <c r="B1432" s="629"/>
      <c r="D1432" s="157"/>
      <c r="E1432" s="158"/>
      <c r="F1432" s="129"/>
    </row>
    <row r="1433" spans="1:6" ht="12" customHeight="1">
      <c r="A1433" s="625"/>
      <c r="B1433" s="629"/>
      <c r="D1433" s="157"/>
      <c r="E1433" s="158"/>
      <c r="F1433" s="129"/>
    </row>
    <row r="1434" spans="1:6" ht="12" customHeight="1">
      <c r="A1434" s="625"/>
      <c r="B1434" s="629"/>
      <c r="D1434" s="157"/>
      <c r="E1434" s="158"/>
      <c r="F1434" s="129"/>
    </row>
    <row r="1435" spans="1:6" ht="12" customHeight="1">
      <c r="A1435" s="625"/>
      <c r="B1435" s="629"/>
      <c r="D1435" s="157"/>
      <c r="E1435" s="158"/>
      <c r="F1435" s="129"/>
    </row>
    <row r="1436" spans="1:6" ht="12" customHeight="1">
      <c r="A1436" s="625"/>
      <c r="B1436" s="629"/>
      <c r="D1436" s="157"/>
      <c r="E1436" s="158"/>
      <c r="F1436" s="129"/>
    </row>
    <row r="1437" spans="1:6" ht="12" customHeight="1">
      <c r="A1437" s="625"/>
      <c r="B1437" s="629"/>
      <c r="D1437" s="157"/>
      <c r="E1437" s="158"/>
      <c r="F1437" s="129"/>
    </row>
    <row r="1438" spans="1:6" ht="12" customHeight="1">
      <c r="A1438" s="625"/>
      <c r="B1438" s="629"/>
      <c r="D1438" s="157"/>
      <c r="E1438" s="158"/>
      <c r="F1438" s="129"/>
    </row>
    <row r="1439" spans="1:6" ht="12" customHeight="1">
      <c r="A1439" s="625"/>
      <c r="B1439" s="629"/>
      <c r="D1439" s="157"/>
      <c r="E1439" s="158"/>
      <c r="F1439" s="129"/>
    </row>
    <row r="1440" spans="1:6" ht="12" customHeight="1">
      <c r="A1440" s="625"/>
      <c r="B1440" s="629"/>
      <c r="D1440" s="157"/>
      <c r="E1440" s="158"/>
      <c r="F1440" s="129"/>
    </row>
    <row r="1441" spans="1:6" ht="12" customHeight="1">
      <c r="A1441" s="625"/>
      <c r="B1441" s="629"/>
      <c r="D1441" s="157"/>
      <c r="E1441" s="158"/>
      <c r="F1441" s="129"/>
    </row>
    <row r="1442" spans="1:6" ht="12" customHeight="1">
      <c r="A1442" s="625"/>
      <c r="B1442" s="629"/>
      <c r="D1442" s="157"/>
      <c r="E1442" s="158"/>
      <c r="F1442" s="129"/>
    </row>
    <row r="1443" spans="1:6" ht="12" customHeight="1">
      <c r="A1443" s="625"/>
      <c r="B1443" s="629"/>
      <c r="D1443" s="157"/>
      <c r="E1443" s="158"/>
      <c r="F1443" s="129"/>
    </row>
    <row r="1444" spans="1:6" ht="12" customHeight="1">
      <c r="A1444" s="625"/>
      <c r="B1444" s="629"/>
      <c r="D1444" s="157"/>
      <c r="E1444" s="158"/>
      <c r="F1444" s="129"/>
    </row>
    <row r="1445" spans="1:6" ht="12" customHeight="1">
      <c r="A1445" s="625"/>
      <c r="B1445" s="629"/>
      <c r="D1445" s="157"/>
      <c r="E1445" s="158"/>
      <c r="F1445" s="129"/>
    </row>
    <row r="1446" spans="1:6" ht="12" customHeight="1">
      <c r="A1446" s="625"/>
      <c r="B1446" s="629"/>
      <c r="D1446" s="157"/>
      <c r="E1446" s="158"/>
      <c r="F1446" s="129"/>
    </row>
    <row r="1447" spans="1:6" ht="12" customHeight="1">
      <c r="A1447" s="625"/>
      <c r="B1447" s="629"/>
      <c r="D1447" s="157"/>
      <c r="E1447" s="158"/>
      <c r="F1447" s="129"/>
    </row>
    <row r="1448" spans="1:6" ht="12" customHeight="1">
      <c r="A1448" s="625"/>
      <c r="B1448" s="629"/>
      <c r="D1448" s="157"/>
      <c r="E1448" s="158"/>
      <c r="F1448" s="129"/>
    </row>
    <row r="1449" spans="1:6" ht="12" customHeight="1">
      <c r="A1449" s="625"/>
      <c r="B1449" s="629"/>
      <c r="D1449" s="157"/>
      <c r="E1449" s="158"/>
      <c r="F1449" s="129"/>
    </row>
    <row r="1450" spans="1:6" ht="12" customHeight="1">
      <c r="A1450" s="625"/>
      <c r="B1450" s="629"/>
      <c r="D1450" s="157"/>
      <c r="E1450" s="158"/>
      <c r="F1450" s="129"/>
    </row>
    <row r="1451" spans="1:6" ht="12" customHeight="1">
      <c r="A1451" s="625"/>
      <c r="B1451" s="629"/>
      <c r="D1451" s="157"/>
      <c r="E1451" s="158"/>
      <c r="F1451" s="129"/>
    </row>
    <row r="1452" spans="1:6" ht="12" customHeight="1">
      <c r="A1452" s="625"/>
      <c r="B1452" s="629"/>
      <c r="D1452" s="157"/>
      <c r="E1452" s="158"/>
      <c r="F1452" s="129"/>
    </row>
    <row r="1453" spans="1:6" ht="12" customHeight="1">
      <c r="A1453" s="625"/>
      <c r="B1453" s="629"/>
      <c r="D1453" s="157"/>
      <c r="E1453" s="158"/>
      <c r="F1453" s="129"/>
    </row>
    <row r="1454" spans="1:6" ht="12" customHeight="1">
      <c r="A1454" s="625"/>
      <c r="B1454" s="629"/>
      <c r="D1454" s="157"/>
      <c r="E1454" s="158"/>
      <c r="F1454" s="129"/>
    </row>
    <row r="1455" spans="1:6" ht="12" customHeight="1">
      <c r="A1455" s="625"/>
      <c r="B1455" s="629"/>
      <c r="D1455" s="157"/>
      <c r="E1455" s="158"/>
      <c r="F1455" s="129"/>
    </row>
    <row r="1456" spans="1:6" ht="12" customHeight="1">
      <c r="A1456" s="625"/>
      <c r="B1456" s="629"/>
      <c r="D1456" s="157"/>
      <c r="E1456" s="158"/>
      <c r="F1456" s="129"/>
    </row>
    <row r="1457" spans="1:6" ht="12" customHeight="1">
      <c r="A1457" s="625"/>
      <c r="B1457" s="629"/>
      <c r="D1457" s="157"/>
      <c r="E1457" s="158"/>
      <c r="F1457" s="129"/>
    </row>
    <row r="1458" spans="1:6" ht="12" customHeight="1">
      <c r="A1458" s="625"/>
      <c r="B1458" s="629"/>
      <c r="D1458" s="157"/>
      <c r="E1458" s="158"/>
      <c r="F1458" s="129"/>
    </row>
    <row r="1459" spans="1:6" ht="12" customHeight="1">
      <c r="A1459" s="625"/>
      <c r="B1459" s="629"/>
      <c r="D1459" s="157"/>
      <c r="E1459" s="158"/>
      <c r="F1459" s="129"/>
    </row>
    <row r="1460" spans="1:6" ht="12" customHeight="1">
      <c r="A1460" s="625"/>
      <c r="B1460" s="629"/>
      <c r="D1460" s="157"/>
      <c r="E1460" s="158"/>
      <c r="F1460" s="129"/>
    </row>
    <row r="1461" spans="1:6" ht="12" customHeight="1">
      <c r="A1461" s="625"/>
      <c r="B1461" s="629"/>
      <c r="D1461" s="157"/>
      <c r="E1461" s="158"/>
      <c r="F1461" s="129"/>
    </row>
    <row r="1462" spans="1:6" ht="12" customHeight="1">
      <c r="A1462" s="625"/>
      <c r="B1462" s="629"/>
      <c r="D1462" s="157"/>
      <c r="E1462" s="158"/>
      <c r="F1462" s="129"/>
    </row>
    <row r="1463" spans="1:6" ht="12" customHeight="1">
      <c r="A1463" s="625"/>
      <c r="B1463" s="629"/>
      <c r="D1463" s="157"/>
      <c r="E1463" s="158"/>
      <c r="F1463" s="129"/>
    </row>
    <row r="1464" spans="1:6" ht="12" customHeight="1">
      <c r="A1464" s="625"/>
      <c r="B1464" s="629"/>
      <c r="D1464" s="157"/>
      <c r="E1464" s="158"/>
      <c r="F1464" s="129"/>
    </row>
    <row r="1465" spans="1:6" ht="12" customHeight="1">
      <c r="A1465" s="625"/>
      <c r="B1465" s="629"/>
      <c r="D1465" s="157"/>
      <c r="E1465" s="158"/>
      <c r="F1465" s="129"/>
    </row>
    <row r="1466" spans="1:6" ht="12" customHeight="1">
      <c r="A1466" s="625"/>
      <c r="B1466" s="629"/>
      <c r="D1466" s="157"/>
      <c r="E1466" s="158"/>
      <c r="F1466" s="129"/>
    </row>
    <row r="1467" spans="1:6" ht="12" customHeight="1">
      <c r="A1467" s="625"/>
      <c r="B1467" s="629"/>
      <c r="D1467" s="157"/>
      <c r="E1467" s="158"/>
      <c r="F1467" s="129"/>
    </row>
    <row r="1468" spans="1:6" ht="12" customHeight="1">
      <c r="A1468" s="625"/>
      <c r="B1468" s="629"/>
      <c r="D1468" s="157"/>
      <c r="E1468" s="158"/>
      <c r="F1468" s="129"/>
    </row>
    <row r="1469" spans="1:6" ht="12" customHeight="1">
      <c r="A1469" s="625"/>
      <c r="B1469" s="629"/>
      <c r="D1469" s="157"/>
      <c r="E1469" s="158"/>
      <c r="F1469" s="129"/>
    </row>
    <row r="1470" spans="1:6" ht="12" customHeight="1">
      <c r="A1470" s="625"/>
      <c r="B1470" s="629"/>
      <c r="D1470" s="157"/>
      <c r="E1470" s="158"/>
      <c r="F1470" s="129"/>
    </row>
    <row r="1471" spans="1:6" ht="12" customHeight="1">
      <c r="A1471" s="625"/>
      <c r="B1471" s="629"/>
      <c r="D1471" s="157"/>
      <c r="E1471" s="158"/>
      <c r="F1471" s="129"/>
    </row>
    <row r="1472" spans="1:6" ht="12" customHeight="1">
      <c r="A1472" s="625"/>
      <c r="B1472" s="629"/>
      <c r="D1472" s="157"/>
      <c r="E1472" s="158"/>
      <c r="F1472" s="129"/>
    </row>
    <row r="1473" spans="1:6" ht="12" customHeight="1">
      <c r="A1473" s="625"/>
      <c r="B1473" s="629"/>
      <c r="D1473" s="157"/>
      <c r="E1473" s="158"/>
      <c r="F1473" s="129"/>
    </row>
    <row r="1474" spans="1:6" ht="12" customHeight="1">
      <c r="A1474" s="625"/>
      <c r="B1474" s="629"/>
      <c r="D1474" s="157"/>
      <c r="E1474" s="158"/>
      <c r="F1474" s="129"/>
    </row>
    <row r="1475" spans="1:6" ht="12" customHeight="1">
      <c r="A1475" s="625"/>
      <c r="B1475" s="629"/>
      <c r="D1475" s="157"/>
      <c r="E1475" s="158"/>
      <c r="F1475" s="129"/>
    </row>
    <row r="1476" spans="1:6" ht="12" customHeight="1">
      <c r="A1476" s="625"/>
      <c r="B1476" s="629"/>
      <c r="D1476" s="157"/>
      <c r="E1476" s="158"/>
      <c r="F1476" s="129"/>
    </row>
    <row r="1477" spans="1:6" ht="12" customHeight="1">
      <c r="A1477" s="625"/>
      <c r="B1477" s="629"/>
      <c r="D1477" s="157"/>
      <c r="E1477" s="158"/>
      <c r="F1477" s="129"/>
    </row>
    <row r="1478" spans="1:6" ht="12" customHeight="1">
      <c r="A1478" s="625"/>
      <c r="B1478" s="629"/>
      <c r="D1478" s="157"/>
      <c r="E1478" s="158"/>
      <c r="F1478" s="129"/>
    </row>
    <row r="1479" spans="1:6" ht="12" customHeight="1">
      <c r="A1479" s="625"/>
      <c r="B1479" s="629"/>
      <c r="D1479" s="157"/>
      <c r="E1479" s="158"/>
      <c r="F1479" s="129"/>
    </row>
    <row r="1480" spans="1:6" ht="12" customHeight="1">
      <c r="A1480" s="625"/>
      <c r="B1480" s="629"/>
      <c r="D1480" s="157"/>
      <c r="E1480" s="158"/>
      <c r="F1480" s="129"/>
    </row>
    <row r="1481" spans="1:6" ht="12" customHeight="1">
      <c r="A1481" s="625"/>
      <c r="B1481" s="629"/>
      <c r="D1481" s="157"/>
      <c r="E1481" s="158"/>
      <c r="F1481" s="129"/>
    </row>
    <row r="1482" spans="1:6" ht="12" customHeight="1">
      <c r="A1482" s="625"/>
      <c r="B1482" s="629"/>
      <c r="D1482" s="157"/>
      <c r="E1482" s="158"/>
      <c r="F1482" s="129"/>
    </row>
    <row r="1483" spans="1:6" ht="12" customHeight="1">
      <c r="A1483" s="625"/>
      <c r="B1483" s="629"/>
      <c r="D1483" s="157"/>
      <c r="E1483" s="158"/>
      <c r="F1483" s="129"/>
    </row>
    <row r="1484" spans="1:6" ht="12" customHeight="1">
      <c r="A1484" s="625"/>
      <c r="B1484" s="629"/>
      <c r="D1484" s="157"/>
      <c r="E1484" s="158"/>
      <c r="F1484" s="129"/>
    </row>
    <row r="1485" spans="1:6" ht="12" customHeight="1">
      <c r="A1485" s="625"/>
      <c r="B1485" s="629"/>
      <c r="D1485" s="157"/>
      <c r="E1485" s="158"/>
      <c r="F1485" s="129"/>
    </row>
    <row r="1486" spans="1:6" ht="12" customHeight="1">
      <c r="A1486" s="625"/>
      <c r="B1486" s="629"/>
      <c r="D1486" s="157"/>
      <c r="E1486" s="158"/>
      <c r="F1486" s="129"/>
    </row>
    <row r="1487" spans="1:6" ht="12" customHeight="1">
      <c r="A1487" s="625"/>
      <c r="B1487" s="629"/>
      <c r="D1487" s="157"/>
      <c r="E1487" s="158"/>
      <c r="F1487" s="129"/>
    </row>
    <row r="1488" spans="1:6" ht="12" customHeight="1">
      <c r="A1488" s="625"/>
      <c r="B1488" s="629"/>
      <c r="D1488" s="157"/>
      <c r="E1488" s="158"/>
      <c r="F1488" s="129"/>
    </row>
    <row r="1489" spans="1:6" ht="12" customHeight="1">
      <c r="A1489" s="625"/>
      <c r="B1489" s="629"/>
      <c r="D1489" s="157"/>
      <c r="E1489" s="158"/>
      <c r="F1489" s="129"/>
    </row>
    <row r="1490" spans="1:6" ht="12" customHeight="1">
      <c r="A1490" s="625"/>
      <c r="B1490" s="629"/>
      <c r="D1490" s="157"/>
      <c r="E1490" s="158"/>
      <c r="F1490" s="129"/>
    </row>
    <row r="1491" spans="1:6" ht="12" customHeight="1">
      <c r="A1491" s="625"/>
      <c r="B1491" s="629"/>
      <c r="D1491" s="157"/>
      <c r="E1491" s="158"/>
      <c r="F1491" s="129"/>
    </row>
    <row r="1492" spans="1:6" ht="12" customHeight="1">
      <c r="A1492" s="625"/>
      <c r="B1492" s="629"/>
      <c r="D1492" s="157"/>
      <c r="E1492" s="158"/>
      <c r="F1492" s="129"/>
    </row>
    <row r="1493" spans="1:6" ht="12" customHeight="1">
      <c r="A1493" s="625"/>
      <c r="B1493" s="629"/>
      <c r="D1493" s="157"/>
      <c r="E1493" s="158"/>
      <c r="F1493" s="129"/>
    </row>
    <row r="1494" spans="1:6" ht="12" customHeight="1">
      <c r="A1494" s="625"/>
      <c r="B1494" s="629"/>
      <c r="D1494" s="157"/>
      <c r="E1494" s="158"/>
      <c r="F1494" s="129"/>
    </row>
    <row r="1495" spans="1:6" ht="12" customHeight="1">
      <c r="A1495" s="625"/>
      <c r="B1495" s="629"/>
      <c r="D1495" s="157"/>
      <c r="E1495" s="158"/>
      <c r="F1495" s="129"/>
    </row>
    <row r="1496" spans="1:6" ht="12" customHeight="1">
      <c r="A1496" s="625"/>
      <c r="B1496" s="629"/>
      <c r="D1496" s="157"/>
      <c r="E1496" s="158"/>
      <c r="F1496" s="129"/>
    </row>
    <row r="1497" spans="1:6" ht="12" customHeight="1">
      <c r="A1497" s="625"/>
      <c r="B1497" s="629"/>
      <c r="D1497" s="157"/>
      <c r="E1497" s="158"/>
      <c r="F1497" s="129"/>
    </row>
    <row r="1498" spans="1:6" ht="12" customHeight="1">
      <c r="A1498" s="625"/>
      <c r="B1498" s="629"/>
      <c r="D1498" s="157"/>
      <c r="E1498" s="158"/>
      <c r="F1498" s="129"/>
    </row>
    <row r="1499" spans="1:6" ht="12" customHeight="1">
      <c r="A1499" s="625"/>
      <c r="B1499" s="629"/>
      <c r="D1499" s="157"/>
      <c r="E1499" s="158"/>
      <c r="F1499" s="129"/>
    </row>
    <row r="1500" spans="1:6" ht="12" customHeight="1">
      <c r="A1500" s="625"/>
      <c r="B1500" s="629"/>
      <c r="D1500" s="157"/>
      <c r="E1500" s="158"/>
      <c r="F1500" s="129"/>
    </row>
    <row r="1501" spans="1:6" ht="12" customHeight="1">
      <c r="A1501" s="625"/>
      <c r="B1501" s="629"/>
      <c r="D1501" s="157"/>
      <c r="E1501" s="158"/>
      <c r="F1501" s="129"/>
    </row>
    <row r="1502" spans="1:6" ht="12" customHeight="1">
      <c r="A1502" s="625"/>
      <c r="B1502" s="629"/>
      <c r="D1502" s="157"/>
      <c r="E1502" s="158"/>
      <c r="F1502" s="129"/>
    </row>
    <row r="1503" spans="1:6" ht="12" customHeight="1">
      <c r="A1503" s="625"/>
      <c r="B1503" s="629"/>
      <c r="D1503" s="157"/>
      <c r="E1503" s="158"/>
      <c r="F1503" s="129"/>
    </row>
    <row r="1504" spans="1:6" ht="12" customHeight="1">
      <c r="A1504" s="625"/>
      <c r="B1504" s="629"/>
      <c r="D1504" s="157"/>
      <c r="E1504" s="158"/>
      <c r="F1504" s="129"/>
    </row>
    <row r="1505" spans="1:6" ht="12" customHeight="1">
      <c r="A1505" s="625"/>
      <c r="B1505" s="629"/>
      <c r="D1505" s="157"/>
      <c r="E1505" s="158"/>
      <c r="F1505" s="129"/>
    </row>
    <row r="1506" spans="1:6" ht="12" customHeight="1">
      <c r="A1506" s="625"/>
      <c r="B1506" s="629"/>
      <c r="D1506" s="157"/>
      <c r="E1506" s="158"/>
      <c r="F1506" s="129"/>
    </row>
    <row r="1507" spans="1:6" ht="12" customHeight="1">
      <c r="A1507" s="625"/>
      <c r="B1507" s="629"/>
      <c r="D1507" s="157"/>
      <c r="E1507" s="158"/>
      <c r="F1507" s="129"/>
    </row>
    <row r="1508" spans="1:6" ht="12" customHeight="1">
      <c r="A1508" s="625"/>
      <c r="B1508" s="629"/>
      <c r="D1508" s="157"/>
      <c r="E1508" s="158"/>
      <c r="F1508" s="129"/>
    </row>
    <row r="1509" spans="1:6" ht="12" customHeight="1">
      <c r="A1509" s="625"/>
      <c r="B1509" s="629"/>
      <c r="D1509" s="157"/>
      <c r="E1509" s="158"/>
      <c r="F1509" s="129"/>
    </row>
    <row r="1510" spans="1:6" ht="12" customHeight="1">
      <c r="A1510" s="625"/>
      <c r="B1510" s="629"/>
      <c r="D1510" s="157"/>
      <c r="E1510" s="158"/>
      <c r="F1510" s="129"/>
    </row>
    <row r="1511" spans="1:6" ht="12" customHeight="1">
      <c r="A1511" s="625"/>
      <c r="B1511" s="629"/>
      <c r="D1511" s="157"/>
      <c r="E1511" s="158"/>
      <c r="F1511" s="129"/>
    </row>
    <row r="1512" spans="1:6" ht="12" customHeight="1">
      <c r="A1512" s="625"/>
      <c r="B1512" s="629"/>
      <c r="D1512" s="157"/>
      <c r="E1512" s="158"/>
      <c r="F1512" s="129"/>
    </row>
    <row r="1513" spans="1:6" ht="12" customHeight="1">
      <c r="A1513" s="625"/>
      <c r="B1513" s="629"/>
      <c r="D1513" s="157"/>
      <c r="E1513" s="158"/>
      <c r="F1513" s="129"/>
    </row>
    <row r="1514" spans="1:6" ht="12" customHeight="1">
      <c r="A1514" s="625"/>
      <c r="B1514" s="629"/>
      <c r="D1514" s="157"/>
      <c r="E1514" s="158"/>
      <c r="F1514" s="129"/>
    </row>
    <row r="1515" spans="1:6" ht="12" customHeight="1">
      <c r="A1515" s="625"/>
      <c r="B1515" s="629"/>
      <c r="D1515" s="157"/>
      <c r="E1515" s="158"/>
      <c r="F1515" s="129"/>
    </row>
    <row r="1516" spans="1:6" ht="12" customHeight="1">
      <c r="A1516" s="625"/>
      <c r="B1516" s="629"/>
      <c r="D1516" s="157"/>
      <c r="E1516" s="158"/>
      <c r="F1516" s="129"/>
    </row>
    <row r="1517" spans="1:6" ht="12" customHeight="1">
      <c r="A1517" s="625"/>
      <c r="B1517" s="629"/>
      <c r="D1517" s="157"/>
      <c r="E1517" s="158"/>
      <c r="F1517" s="129"/>
    </row>
    <row r="1518" spans="1:6" ht="12" customHeight="1">
      <c r="A1518" s="625"/>
      <c r="B1518" s="629"/>
      <c r="D1518" s="157"/>
      <c r="E1518" s="158"/>
      <c r="F1518" s="129"/>
    </row>
    <row r="1519" spans="1:6" ht="12" customHeight="1">
      <c r="A1519" s="625"/>
      <c r="B1519" s="629"/>
      <c r="D1519" s="157"/>
      <c r="E1519" s="158"/>
      <c r="F1519" s="129"/>
    </row>
    <row r="1520" spans="1:6" ht="12" customHeight="1">
      <c r="A1520" s="625"/>
      <c r="B1520" s="629"/>
      <c r="D1520" s="157"/>
      <c r="E1520" s="158"/>
      <c r="F1520" s="129"/>
    </row>
    <row r="1521" spans="1:6" ht="12" customHeight="1">
      <c r="A1521" s="625"/>
      <c r="B1521" s="629"/>
      <c r="D1521" s="157"/>
      <c r="E1521" s="158"/>
      <c r="F1521" s="129"/>
    </row>
    <row r="1522" spans="1:6" ht="12" customHeight="1">
      <c r="A1522" s="625"/>
      <c r="B1522" s="629"/>
      <c r="D1522" s="157"/>
      <c r="E1522" s="158"/>
      <c r="F1522" s="129"/>
    </row>
    <row r="1523" spans="1:6" ht="12" customHeight="1">
      <c r="A1523" s="625"/>
      <c r="B1523" s="629"/>
      <c r="D1523" s="157"/>
      <c r="E1523" s="158"/>
      <c r="F1523" s="129"/>
    </row>
    <row r="1524" spans="1:6" ht="12" customHeight="1">
      <c r="A1524" s="625"/>
      <c r="B1524" s="629"/>
      <c r="D1524" s="157"/>
      <c r="E1524" s="158"/>
      <c r="F1524" s="129"/>
    </row>
    <row r="1525" spans="1:6" ht="12" customHeight="1">
      <c r="A1525" s="625"/>
      <c r="B1525" s="629"/>
      <c r="D1525" s="157"/>
      <c r="E1525" s="158"/>
      <c r="F1525" s="129"/>
    </row>
    <row r="1526" spans="1:6" ht="12" customHeight="1">
      <c r="A1526" s="625"/>
      <c r="B1526" s="629"/>
      <c r="D1526" s="157"/>
      <c r="E1526" s="158"/>
      <c r="F1526" s="129"/>
    </row>
    <row r="1527" spans="1:6" ht="12" customHeight="1">
      <c r="A1527" s="625"/>
      <c r="B1527" s="629"/>
      <c r="D1527" s="157"/>
      <c r="E1527" s="158"/>
      <c r="F1527" s="129"/>
    </row>
    <row r="1528" spans="1:6" ht="12" customHeight="1">
      <c r="A1528" s="625"/>
      <c r="B1528" s="629"/>
      <c r="D1528" s="157"/>
      <c r="E1528" s="158"/>
      <c r="F1528" s="129"/>
    </row>
    <row r="1529" spans="1:6" ht="12" customHeight="1">
      <c r="A1529" s="625"/>
      <c r="B1529" s="629"/>
      <c r="D1529" s="157"/>
      <c r="E1529" s="158"/>
      <c r="F1529" s="129"/>
    </row>
    <row r="1530" spans="1:6" ht="12" customHeight="1">
      <c r="A1530" s="625"/>
      <c r="B1530" s="629"/>
      <c r="D1530" s="157"/>
      <c r="E1530" s="158"/>
      <c r="F1530" s="129"/>
    </row>
    <row r="1531" spans="1:6" ht="12" customHeight="1">
      <c r="A1531" s="625"/>
      <c r="B1531" s="629"/>
      <c r="D1531" s="157"/>
      <c r="E1531" s="158"/>
      <c r="F1531" s="129"/>
    </row>
    <row r="1532" spans="1:6" ht="12" customHeight="1">
      <c r="A1532" s="625"/>
      <c r="B1532" s="629"/>
      <c r="D1532" s="157"/>
      <c r="E1532" s="158"/>
      <c r="F1532" s="129"/>
    </row>
    <row r="1533" spans="1:6" ht="12" customHeight="1">
      <c r="A1533" s="625"/>
      <c r="B1533" s="629"/>
      <c r="D1533" s="157"/>
      <c r="E1533" s="158"/>
      <c r="F1533" s="129"/>
    </row>
    <row r="1534" spans="1:6" ht="12" customHeight="1">
      <c r="A1534" s="625"/>
      <c r="B1534" s="629"/>
      <c r="D1534" s="157"/>
      <c r="E1534" s="158"/>
      <c r="F1534" s="129"/>
    </row>
    <row r="1535" spans="1:6" ht="12" customHeight="1">
      <c r="A1535" s="625"/>
      <c r="B1535" s="629"/>
      <c r="D1535" s="157"/>
      <c r="E1535" s="158"/>
      <c r="F1535" s="129"/>
    </row>
    <row r="1536" spans="1:6" ht="12" customHeight="1">
      <c r="A1536" s="625"/>
      <c r="B1536" s="629"/>
      <c r="D1536" s="157"/>
      <c r="E1536" s="158"/>
      <c r="F1536" s="129"/>
    </row>
    <row r="1537" spans="1:6" ht="12" customHeight="1">
      <c r="A1537" s="625"/>
      <c r="B1537" s="629"/>
      <c r="D1537" s="157"/>
      <c r="E1537" s="158"/>
      <c r="F1537" s="129"/>
    </row>
    <row r="1538" spans="1:6" ht="12" customHeight="1">
      <c r="A1538" s="625"/>
      <c r="B1538" s="629"/>
      <c r="D1538" s="157"/>
      <c r="E1538" s="158"/>
      <c r="F1538" s="129"/>
    </row>
    <row r="1539" spans="1:6" ht="12" customHeight="1">
      <c r="A1539" s="625"/>
      <c r="B1539" s="629"/>
      <c r="D1539" s="157"/>
      <c r="E1539" s="158"/>
      <c r="F1539" s="129"/>
    </row>
    <row r="1540" spans="1:6" ht="12" customHeight="1">
      <c r="A1540" s="625"/>
      <c r="B1540" s="629"/>
      <c r="D1540" s="157"/>
      <c r="E1540" s="158"/>
      <c r="F1540" s="129"/>
    </row>
    <row r="1541" spans="1:6" ht="12" customHeight="1">
      <c r="A1541" s="625"/>
      <c r="B1541" s="629"/>
      <c r="D1541" s="157"/>
      <c r="E1541" s="158"/>
      <c r="F1541" s="129"/>
    </row>
    <row r="1542" spans="1:6" ht="12" customHeight="1">
      <c r="A1542" s="625"/>
      <c r="B1542" s="629"/>
      <c r="D1542" s="157"/>
      <c r="E1542" s="158"/>
      <c r="F1542" s="129"/>
    </row>
    <row r="1543" spans="1:6" ht="12" customHeight="1">
      <c r="A1543" s="625"/>
      <c r="B1543" s="629"/>
      <c r="D1543" s="157"/>
      <c r="E1543" s="158"/>
      <c r="F1543" s="129"/>
    </row>
    <row r="1544" spans="1:6" ht="12" customHeight="1">
      <c r="A1544" s="625"/>
      <c r="B1544" s="629"/>
      <c r="D1544" s="157"/>
      <c r="E1544" s="158"/>
      <c r="F1544" s="129"/>
    </row>
    <row r="1545" spans="1:6" ht="12" customHeight="1">
      <c r="A1545" s="625"/>
      <c r="B1545" s="629"/>
      <c r="D1545" s="157"/>
      <c r="E1545" s="158"/>
      <c r="F1545" s="129"/>
    </row>
    <row r="1546" spans="1:6" ht="12" customHeight="1">
      <c r="A1546" s="625"/>
      <c r="B1546" s="629"/>
      <c r="D1546" s="157"/>
      <c r="E1546" s="158"/>
      <c r="F1546" s="129"/>
    </row>
    <row r="1547" spans="1:6" ht="12" customHeight="1">
      <c r="A1547" s="625"/>
      <c r="B1547" s="629"/>
      <c r="D1547" s="157"/>
      <c r="E1547" s="158"/>
      <c r="F1547" s="129"/>
    </row>
    <row r="1548" spans="1:6" ht="12" customHeight="1">
      <c r="A1548" s="625"/>
      <c r="B1548" s="629"/>
      <c r="D1548" s="157"/>
      <c r="E1548" s="158"/>
      <c r="F1548" s="129"/>
    </row>
    <row r="1549" spans="1:6" ht="12" customHeight="1">
      <c r="A1549" s="625"/>
      <c r="B1549" s="629"/>
      <c r="D1549" s="157"/>
      <c r="E1549" s="158"/>
      <c r="F1549" s="129"/>
    </row>
    <row r="1550" spans="1:6" ht="12" customHeight="1">
      <c r="A1550" s="625"/>
      <c r="B1550" s="629"/>
      <c r="D1550" s="157"/>
      <c r="E1550" s="158"/>
      <c r="F1550" s="129"/>
    </row>
    <row r="1551" spans="1:6" ht="12" customHeight="1">
      <c r="A1551" s="625"/>
      <c r="B1551" s="629"/>
      <c r="D1551" s="157"/>
      <c r="E1551" s="158"/>
      <c r="F1551" s="129"/>
    </row>
    <row r="1552" spans="1:6" ht="12" customHeight="1">
      <c r="A1552" s="625"/>
      <c r="B1552" s="629"/>
      <c r="D1552" s="157"/>
      <c r="E1552" s="158"/>
      <c r="F1552" s="129"/>
    </row>
    <row r="1553" spans="1:6" ht="12" customHeight="1">
      <c r="A1553" s="625"/>
      <c r="B1553" s="629"/>
      <c r="D1553" s="157"/>
      <c r="E1553" s="158"/>
      <c r="F1553" s="129"/>
    </row>
    <row r="1554" spans="1:6" ht="12" customHeight="1">
      <c r="A1554" s="625"/>
      <c r="B1554" s="629"/>
      <c r="D1554" s="157"/>
      <c r="E1554" s="158"/>
      <c r="F1554" s="129"/>
    </row>
    <row r="1555" spans="1:6" ht="12" customHeight="1">
      <c r="A1555" s="625"/>
      <c r="B1555" s="629"/>
      <c r="D1555" s="157"/>
      <c r="E1555" s="158"/>
      <c r="F1555" s="129"/>
    </row>
    <row r="1556" spans="1:6" ht="12" customHeight="1">
      <c r="A1556" s="625"/>
      <c r="B1556" s="629"/>
      <c r="D1556" s="157"/>
      <c r="E1556" s="158"/>
      <c r="F1556" s="129"/>
    </row>
    <row r="1557" spans="1:6" ht="12" customHeight="1">
      <c r="A1557" s="625"/>
      <c r="B1557" s="629"/>
      <c r="D1557" s="157"/>
      <c r="E1557" s="158"/>
      <c r="F1557" s="129"/>
    </row>
    <row r="1558" spans="1:6" ht="12" customHeight="1">
      <c r="A1558" s="625"/>
      <c r="B1558" s="629"/>
      <c r="D1558" s="157"/>
      <c r="E1558" s="158"/>
      <c r="F1558" s="129"/>
    </row>
    <row r="1559" spans="1:6" ht="12" customHeight="1">
      <c r="A1559" s="625"/>
      <c r="B1559" s="629"/>
      <c r="D1559" s="157"/>
      <c r="E1559" s="158"/>
      <c r="F1559" s="129"/>
    </row>
    <row r="1560" spans="1:6" ht="12" customHeight="1">
      <c r="A1560" s="625"/>
      <c r="B1560" s="629"/>
      <c r="D1560" s="157"/>
      <c r="E1560" s="158"/>
      <c r="F1560" s="129"/>
    </row>
    <row r="1561" spans="1:6" ht="12" customHeight="1">
      <c r="A1561" s="625"/>
      <c r="B1561" s="629"/>
      <c r="D1561" s="157"/>
      <c r="E1561" s="158"/>
      <c r="F1561" s="129"/>
    </row>
    <row r="1562" spans="1:6" ht="12" customHeight="1">
      <c r="A1562" s="625"/>
      <c r="B1562" s="629"/>
      <c r="D1562" s="157"/>
      <c r="E1562" s="158"/>
      <c r="F1562" s="129"/>
    </row>
    <row r="1563" spans="1:6" ht="12" customHeight="1">
      <c r="A1563" s="625"/>
      <c r="B1563" s="629"/>
      <c r="D1563" s="157"/>
      <c r="E1563" s="158"/>
      <c r="F1563" s="129"/>
    </row>
    <row r="1564" spans="1:6" ht="12" customHeight="1">
      <c r="A1564" s="625"/>
      <c r="B1564" s="629"/>
      <c r="D1564" s="157"/>
      <c r="E1564" s="158"/>
      <c r="F1564" s="129"/>
    </row>
    <row r="1565" spans="1:6" ht="12" customHeight="1">
      <c r="A1565" s="625"/>
      <c r="B1565" s="629"/>
      <c r="D1565" s="103"/>
      <c r="E1565" s="129"/>
      <c r="F1565" s="129"/>
    </row>
    <row r="1566" spans="1:6" ht="12" customHeight="1">
      <c r="A1566" s="625"/>
      <c r="B1566" s="629"/>
      <c r="D1566" s="103"/>
      <c r="E1566" s="129"/>
      <c r="F1566" s="129"/>
    </row>
    <row r="1567" spans="1:6" ht="12" customHeight="1">
      <c r="A1567" s="625"/>
      <c r="B1567" s="629"/>
      <c r="D1567" s="103"/>
      <c r="E1567" s="129"/>
      <c r="F1567" s="129"/>
    </row>
    <row r="1568" spans="1:6" ht="12" customHeight="1">
      <c r="A1568" s="625"/>
      <c r="B1568" s="629"/>
      <c r="D1568" s="103"/>
      <c r="E1568" s="129"/>
      <c r="F1568" s="129"/>
    </row>
    <row r="1569" spans="1:6" ht="12" customHeight="1">
      <c r="A1569" s="625"/>
      <c r="B1569" s="629"/>
      <c r="D1569" s="103"/>
      <c r="E1569" s="129"/>
      <c r="F1569" s="129"/>
    </row>
    <row r="1570" spans="1:6" ht="12" customHeight="1">
      <c r="A1570" s="625"/>
      <c r="B1570" s="629"/>
      <c r="D1570" s="103"/>
      <c r="E1570" s="129"/>
      <c r="F1570" s="129"/>
    </row>
    <row r="1571" spans="1:6" ht="12" customHeight="1">
      <c r="A1571" s="625"/>
      <c r="B1571" s="629"/>
      <c r="D1571" s="103"/>
      <c r="E1571" s="129"/>
      <c r="F1571" s="129"/>
    </row>
    <row r="1572" spans="1:6" ht="12" customHeight="1">
      <c r="A1572" s="625"/>
      <c r="B1572" s="629"/>
      <c r="D1572" s="103"/>
      <c r="E1572" s="129"/>
      <c r="F1572" s="129"/>
    </row>
    <row r="1573" spans="1:6" ht="12" customHeight="1">
      <c r="A1573" s="625"/>
      <c r="B1573" s="629"/>
      <c r="D1573" s="103"/>
      <c r="E1573" s="129"/>
      <c r="F1573" s="129"/>
    </row>
    <row r="1574" spans="1:6" ht="12" customHeight="1">
      <c r="A1574" s="625"/>
      <c r="B1574" s="629"/>
      <c r="D1574" s="103"/>
      <c r="E1574" s="129"/>
      <c r="F1574" s="129"/>
    </row>
    <row r="1575" spans="1:6" ht="12" customHeight="1">
      <c r="A1575" s="625"/>
      <c r="B1575" s="629"/>
      <c r="D1575" s="103"/>
      <c r="E1575" s="129"/>
      <c r="F1575" s="129"/>
    </row>
    <row r="1576" spans="1:6" ht="12" customHeight="1">
      <c r="A1576" s="625"/>
      <c r="B1576" s="629"/>
      <c r="D1576" s="103"/>
      <c r="E1576" s="129"/>
      <c r="F1576" s="129"/>
    </row>
    <row r="1577" spans="1:6" ht="12" customHeight="1">
      <c r="A1577" s="625"/>
      <c r="B1577" s="629"/>
      <c r="D1577" s="103"/>
      <c r="E1577" s="129"/>
      <c r="F1577" s="129"/>
    </row>
    <row r="1578" spans="1:6" ht="12" customHeight="1">
      <c r="A1578" s="625"/>
      <c r="B1578" s="629"/>
      <c r="D1578" s="103"/>
      <c r="E1578" s="129"/>
      <c r="F1578" s="129"/>
    </row>
    <row r="1579" spans="1:6" ht="12" customHeight="1">
      <c r="A1579" s="625"/>
      <c r="B1579" s="629"/>
      <c r="D1579" s="103"/>
      <c r="E1579" s="129"/>
      <c r="F1579" s="129"/>
    </row>
    <row r="1580" spans="1:6" ht="12" customHeight="1">
      <c r="A1580" s="625"/>
      <c r="B1580" s="629"/>
      <c r="D1580" s="103"/>
      <c r="E1580" s="129"/>
      <c r="F1580" s="129"/>
    </row>
    <row r="1581" spans="1:6" ht="12" customHeight="1">
      <c r="A1581" s="625"/>
      <c r="B1581" s="629"/>
      <c r="D1581" s="103"/>
      <c r="E1581" s="129"/>
      <c r="F1581" s="129"/>
    </row>
    <row r="1582" spans="1:6" ht="12" customHeight="1">
      <c r="A1582" s="625"/>
      <c r="B1582" s="629"/>
      <c r="D1582" s="103"/>
      <c r="E1582" s="129"/>
      <c r="F1582" s="129"/>
    </row>
    <row r="1583" spans="1:6" ht="12" customHeight="1">
      <c r="A1583" s="625"/>
      <c r="B1583" s="629"/>
      <c r="D1583" s="103"/>
      <c r="E1583" s="129"/>
      <c r="F1583" s="129"/>
    </row>
    <row r="1584" spans="1:6" ht="12" customHeight="1">
      <c r="A1584" s="625"/>
      <c r="B1584" s="629"/>
      <c r="D1584" s="103"/>
      <c r="E1584" s="129"/>
      <c r="F1584" s="129"/>
    </row>
    <row r="1585" spans="1:6" ht="12" customHeight="1">
      <c r="A1585" s="625"/>
      <c r="B1585" s="629"/>
      <c r="D1585" s="103"/>
      <c r="E1585" s="129"/>
      <c r="F1585" s="129"/>
    </row>
    <row r="1586" spans="1:6" ht="12" customHeight="1">
      <c r="A1586" s="625"/>
      <c r="B1586" s="629"/>
      <c r="D1586" s="103"/>
      <c r="E1586" s="129"/>
      <c r="F1586" s="129"/>
    </row>
    <row r="1587" spans="1:6" ht="12" customHeight="1">
      <c r="A1587" s="625"/>
      <c r="B1587" s="629"/>
      <c r="D1587" s="103"/>
      <c r="E1587" s="129"/>
      <c r="F1587" s="129"/>
    </row>
    <row r="1588" spans="1:6" ht="12" customHeight="1">
      <c r="A1588" s="625"/>
      <c r="B1588" s="629"/>
      <c r="D1588" s="103"/>
      <c r="E1588" s="129"/>
      <c r="F1588" s="129"/>
    </row>
    <row r="1589" spans="1:6" ht="12" customHeight="1">
      <c r="A1589" s="625"/>
      <c r="B1589" s="629"/>
      <c r="D1589" s="103"/>
      <c r="E1589" s="129"/>
      <c r="F1589" s="129"/>
    </row>
    <row r="1590" spans="1:6" ht="12" customHeight="1">
      <c r="A1590" s="625"/>
      <c r="B1590" s="629"/>
      <c r="D1590" s="103"/>
      <c r="E1590" s="129"/>
      <c r="F1590" s="129"/>
    </row>
    <row r="1591" spans="1:6" ht="12" customHeight="1">
      <c r="A1591" s="625"/>
      <c r="B1591" s="629"/>
      <c r="D1591" s="103"/>
      <c r="E1591" s="129"/>
      <c r="F1591" s="129"/>
    </row>
    <row r="1592" spans="1:6" ht="12" customHeight="1">
      <c r="A1592" s="625"/>
      <c r="B1592" s="629"/>
      <c r="D1592" s="103"/>
      <c r="E1592" s="129"/>
      <c r="F1592" s="129"/>
    </row>
    <row r="1593" spans="1:6" ht="12" customHeight="1">
      <c r="A1593" s="625"/>
      <c r="B1593" s="629"/>
      <c r="D1593" s="103"/>
      <c r="E1593" s="129"/>
      <c r="F1593" s="129"/>
    </row>
    <row r="1594" spans="1:6" ht="12" customHeight="1">
      <c r="A1594" s="625"/>
      <c r="B1594" s="629"/>
      <c r="D1594" s="103"/>
      <c r="E1594" s="129"/>
      <c r="F1594" s="129"/>
    </row>
    <row r="1595" spans="1:6" ht="12" customHeight="1">
      <c r="A1595" s="625"/>
      <c r="B1595" s="629"/>
      <c r="D1595" s="103"/>
      <c r="E1595" s="129"/>
      <c r="F1595" s="129"/>
    </row>
    <row r="1596" spans="1:6" ht="12" customHeight="1">
      <c r="A1596" s="625"/>
      <c r="B1596" s="629"/>
      <c r="D1596" s="103"/>
      <c r="E1596" s="129"/>
      <c r="F1596" s="129"/>
    </row>
    <row r="1597" spans="1:6" ht="12" customHeight="1">
      <c r="A1597" s="625"/>
      <c r="B1597" s="629"/>
      <c r="D1597" s="103"/>
      <c r="E1597" s="129"/>
      <c r="F1597" s="129"/>
    </row>
    <row r="1598" spans="1:6" ht="12" customHeight="1">
      <c r="A1598" s="625"/>
      <c r="B1598" s="629"/>
      <c r="D1598" s="103"/>
      <c r="E1598" s="129"/>
      <c r="F1598" s="129"/>
    </row>
    <row r="1599" spans="1:6" ht="12" customHeight="1">
      <c r="A1599" s="625"/>
      <c r="B1599" s="629"/>
      <c r="D1599" s="103"/>
      <c r="E1599" s="129"/>
      <c r="F1599" s="129"/>
    </row>
    <row r="1600" spans="1:6" ht="12" customHeight="1">
      <c r="A1600" s="625"/>
      <c r="B1600" s="629"/>
      <c r="F1600" s="129"/>
    </row>
    <row r="1601" spans="1:6" ht="12" customHeight="1">
      <c r="A1601" s="625"/>
      <c r="B1601" s="629"/>
      <c r="F1601" s="129"/>
    </row>
    <row r="1602" spans="1:6" ht="12" customHeight="1">
      <c r="A1602" s="625"/>
      <c r="B1602" s="629"/>
      <c r="F1602" s="129"/>
    </row>
    <row r="1603" spans="1:6" ht="12" customHeight="1">
      <c r="A1603" s="625"/>
      <c r="B1603" s="629"/>
      <c r="F1603" s="129"/>
    </row>
    <row r="1604" spans="1:6" ht="12" customHeight="1">
      <c r="A1604" s="625"/>
      <c r="B1604" s="629"/>
    </row>
    <row r="1605" spans="1:6" ht="12" customHeight="1">
      <c r="A1605" s="625"/>
      <c r="B1605" s="629"/>
    </row>
    <row r="1606" spans="1:6" ht="12" customHeight="1">
      <c r="A1606" s="625"/>
      <c r="B1606" s="629"/>
    </row>
    <row r="1607" spans="1:6" ht="12" customHeight="1">
      <c r="A1607" s="625"/>
      <c r="B1607" s="629"/>
    </row>
    <row r="1608" spans="1:6" ht="12" customHeight="1">
      <c r="A1608" s="625"/>
      <c r="B1608" s="629"/>
    </row>
    <row r="1609" spans="1:6" ht="12" customHeight="1">
      <c r="A1609" s="625"/>
      <c r="B1609" s="629"/>
    </row>
    <row r="1610" spans="1:6" ht="12" customHeight="1">
      <c r="A1610" s="625"/>
      <c r="B1610" s="629"/>
    </row>
    <row r="1611" spans="1:6" ht="12" customHeight="1">
      <c r="A1611" s="625"/>
      <c r="B1611" s="629"/>
    </row>
    <row r="1612" spans="1:6" ht="12" customHeight="1">
      <c r="A1612" s="625"/>
      <c r="B1612" s="629"/>
    </row>
    <row r="1613" spans="1:6" ht="12" customHeight="1">
      <c r="A1613" s="625"/>
      <c r="B1613" s="629"/>
    </row>
    <row r="1614" spans="1:6" ht="12" customHeight="1">
      <c r="A1614" s="625"/>
      <c r="B1614" s="629"/>
    </row>
    <row r="1615" spans="1:6" ht="12" customHeight="1">
      <c r="A1615" s="625"/>
      <c r="B1615" s="629"/>
    </row>
    <row r="1616" spans="1:6" ht="12" customHeight="1">
      <c r="A1616" s="625"/>
      <c r="B1616" s="629"/>
    </row>
    <row r="1617" spans="1:2" ht="12" customHeight="1">
      <c r="A1617" s="625"/>
      <c r="B1617" s="629"/>
    </row>
    <row r="1618" spans="1:2" ht="12" customHeight="1">
      <c r="A1618" s="625"/>
      <c r="B1618" s="629"/>
    </row>
    <row r="1619" spans="1:2" ht="12" customHeight="1">
      <c r="A1619" s="625"/>
      <c r="B1619" s="629"/>
    </row>
    <row r="1620" spans="1:2" ht="12" customHeight="1">
      <c r="A1620" s="625"/>
      <c r="B1620" s="629"/>
    </row>
    <row r="1621" spans="1:2" ht="12" customHeight="1">
      <c r="A1621" s="625"/>
      <c r="B1621" s="629"/>
    </row>
    <row r="1622" spans="1:2" ht="12" customHeight="1">
      <c r="A1622" s="625"/>
      <c r="B1622" s="629"/>
    </row>
    <row r="1623" spans="1:2" ht="12" customHeight="1">
      <c r="A1623" s="625"/>
      <c r="B1623" s="629"/>
    </row>
    <row r="1624" spans="1:2" ht="12" customHeight="1">
      <c r="A1624" s="625"/>
      <c r="B1624" s="629"/>
    </row>
    <row r="1625" spans="1:2" ht="12" customHeight="1">
      <c r="A1625" s="625"/>
      <c r="B1625" s="629"/>
    </row>
    <row r="1626" spans="1:2" ht="12" customHeight="1">
      <c r="A1626" s="625"/>
      <c r="B1626" s="629"/>
    </row>
    <row r="1627" spans="1:2" ht="12" customHeight="1">
      <c r="A1627" s="625"/>
      <c r="B1627" s="629"/>
    </row>
    <row r="1628" spans="1:2" ht="12" customHeight="1">
      <c r="A1628" s="625"/>
      <c r="B1628" s="629"/>
    </row>
    <row r="1629" spans="1:2" ht="12" customHeight="1">
      <c r="A1629" s="625"/>
      <c r="B1629" s="629"/>
    </row>
    <row r="1630" spans="1:2" ht="12" customHeight="1">
      <c r="A1630" s="625"/>
      <c r="B1630" s="629"/>
    </row>
    <row r="1631" spans="1:2" ht="12" customHeight="1">
      <c r="A1631" s="625"/>
      <c r="B1631" s="629"/>
    </row>
    <row r="1632" spans="1:2" ht="12" customHeight="1">
      <c r="A1632" s="625"/>
      <c r="B1632" s="629"/>
    </row>
    <row r="1633" spans="1:2" ht="12" customHeight="1">
      <c r="A1633" s="625"/>
      <c r="B1633" s="629"/>
    </row>
    <row r="1634" spans="1:2" ht="12" customHeight="1">
      <c r="A1634" s="625"/>
      <c r="B1634" s="629"/>
    </row>
    <row r="1635" spans="1:2" ht="12" customHeight="1">
      <c r="A1635" s="625"/>
      <c r="B1635" s="629"/>
    </row>
    <row r="1636" spans="1:2" ht="12" customHeight="1">
      <c r="A1636" s="625"/>
      <c r="B1636" s="629"/>
    </row>
    <row r="1637" spans="1:2" ht="12" customHeight="1">
      <c r="A1637" s="625"/>
      <c r="B1637" s="629"/>
    </row>
    <row r="1638" spans="1:2" ht="12" customHeight="1">
      <c r="A1638" s="625"/>
      <c r="B1638" s="629"/>
    </row>
    <row r="1639" spans="1:2" ht="12" customHeight="1">
      <c r="A1639" s="625"/>
      <c r="B1639" s="629"/>
    </row>
    <row r="1640" spans="1:2" ht="12" customHeight="1">
      <c r="A1640" s="625"/>
      <c r="B1640" s="629"/>
    </row>
    <row r="1641" spans="1:2" ht="12" customHeight="1">
      <c r="A1641" s="625"/>
      <c r="B1641" s="629"/>
    </row>
    <row r="1642" spans="1:2" ht="12" customHeight="1">
      <c r="A1642" s="625"/>
      <c r="B1642" s="629"/>
    </row>
    <row r="1643" spans="1:2" ht="12" customHeight="1">
      <c r="A1643" s="625"/>
      <c r="B1643" s="629"/>
    </row>
    <row r="1644" spans="1:2" ht="12" customHeight="1">
      <c r="A1644" s="625"/>
      <c r="B1644" s="629"/>
    </row>
    <row r="1645" spans="1:2" ht="12" customHeight="1">
      <c r="A1645" s="625"/>
      <c r="B1645" s="629"/>
    </row>
    <row r="1646" spans="1:2" ht="12" customHeight="1">
      <c r="A1646" s="625"/>
      <c r="B1646" s="629"/>
    </row>
    <row r="1647" spans="1:2" ht="12" customHeight="1">
      <c r="A1647" s="625"/>
      <c r="B1647" s="629"/>
    </row>
    <row r="1648" spans="1:2" ht="12" customHeight="1">
      <c r="A1648" s="625"/>
      <c r="B1648" s="629"/>
    </row>
    <row r="1649" spans="1:2" ht="12" customHeight="1">
      <c r="A1649" s="625"/>
      <c r="B1649" s="629"/>
    </row>
    <row r="1650" spans="1:2" ht="12" customHeight="1">
      <c r="A1650" s="625"/>
      <c r="B1650" s="629"/>
    </row>
    <row r="1651" spans="1:2" ht="12" customHeight="1">
      <c r="A1651" s="625"/>
      <c r="B1651" s="629"/>
    </row>
    <row r="1652" spans="1:2" ht="12" customHeight="1">
      <c r="A1652" s="625"/>
      <c r="B1652" s="629"/>
    </row>
    <row r="1653" spans="1:2" ht="12" customHeight="1">
      <c r="A1653" s="625"/>
      <c r="B1653" s="629"/>
    </row>
    <row r="1654" spans="1:2" ht="12" customHeight="1">
      <c r="A1654" s="625"/>
      <c r="B1654" s="629"/>
    </row>
    <row r="1655" spans="1:2" ht="12" customHeight="1">
      <c r="A1655" s="625"/>
      <c r="B1655" s="629"/>
    </row>
    <row r="1656" spans="1:2" ht="12" customHeight="1">
      <c r="A1656" s="625"/>
      <c r="B1656" s="629"/>
    </row>
    <row r="1657" spans="1:2" ht="12" customHeight="1">
      <c r="A1657" s="625"/>
      <c r="B1657" s="629"/>
    </row>
    <row r="1658" spans="1:2" ht="12" customHeight="1">
      <c r="A1658" s="625"/>
      <c r="B1658" s="629"/>
    </row>
    <row r="1659" spans="1:2" ht="12" customHeight="1">
      <c r="A1659" s="625"/>
      <c r="B1659" s="629"/>
    </row>
    <row r="1660" spans="1:2" ht="12" customHeight="1">
      <c r="A1660" s="625"/>
      <c r="B1660" s="629"/>
    </row>
    <row r="1661" spans="1:2" ht="12" customHeight="1">
      <c r="A1661" s="625"/>
      <c r="B1661" s="629"/>
    </row>
    <row r="1662" spans="1:2" ht="12" customHeight="1">
      <c r="A1662" s="625"/>
      <c r="B1662" s="629"/>
    </row>
    <row r="1663" spans="1:2" ht="12" customHeight="1">
      <c r="A1663" s="625"/>
      <c r="B1663" s="629"/>
    </row>
    <row r="1664" spans="1:2" ht="12" customHeight="1">
      <c r="A1664" s="625"/>
      <c r="B1664" s="629"/>
    </row>
    <row r="1665" spans="1:2" ht="12" customHeight="1">
      <c r="A1665" s="625"/>
      <c r="B1665" s="629"/>
    </row>
    <row r="1666" spans="1:2" ht="12" customHeight="1">
      <c r="A1666" s="625"/>
      <c r="B1666" s="629"/>
    </row>
    <row r="1667" spans="1:2" ht="12" customHeight="1">
      <c r="A1667" s="625"/>
      <c r="B1667" s="629"/>
    </row>
    <row r="1668" spans="1:2" ht="12" customHeight="1">
      <c r="A1668" s="625"/>
      <c r="B1668" s="629"/>
    </row>
    <row r="1669" spans="1:2" ht="12" customHeight="1">
      <c r="A1669" s="625"/>
      <c r="B1669" s="629"/>
    </row>
    <row r="1670" spans="1:2" ht="12" customHeight="1">
      <c r="A1670" s="625"/>
      <c r="B1670" s="629"/>
    </row>
    <row r="1671" spans="1:2" ht="12" customHeight="1">
      <c r="A1671" s="625"/>
      <c r="B1671" s="629"/>
    </row>
    <row r="1672" spans="1:2" ht="12" customHeight="1">
      <c r="A1672" s="625"/>
      <c r="B1672" s="629"/>
    </row>
    <row r="1673" spans="1:2" ht="12" customHeight="1">
      <c r="A1673" s="625"/>
      <c r="B1673" s="629"/>
    </row>
    <row r="1674" spans="1:2" ht="12" customHeight="1">
      <c r="A1674" s="625"/>
      <c r="B1674" s="629"/>
    </row>
    <row r="1675" spans="1:2" ht="12" customHeight="1">
      <c r="A1675" s="625"/>
      <c r="B1675" s="629"/>
    </row>
    <row r="1676" spans="1:2" ht="12" customHeight="1">
      <c r="A1676" s="625"/>
      <c r="B1676" s="629"/>
    </row>
    <row r="1677" spans="1:2" ht="12" customHeight="1">
      <c r="A1677" s="625"/>
      <c r="B1677" s="629"/>
    </row>
    <row r="1678" spans="1:2" ht="12" customHeight="1">
      <c r="A1678" s="625"/>
      <c r="B1678" s="629"/>
    </row>
    <row r="1679" spans="1:2" ht="12" customHeight="1">
      <c r="A1679" s="625"/>
      <c r="B1679" s="629"/>
    </row>
    <row r="1680" spans="1:2" ht="12" customHeight="1">
      <c r="A1680" s="625"/>
      <c r="B1680" s="629"/>
    </row>
    <row r="1681" spans="1:2" ht="12" customHeight="1">
      <c r="A1681" s="625"/>
      <c r="B1681" s="629"/>
    </row>
    <row r="1682" spans="1:2" ht="12" customHeight="1">
      <c r="A1682" s="625"/>
      <c r="B1682" s="629"/>
    </row>
    <row r="1683" spans="1:2" ht="12" customHeight="1">
      <c r="A1683" s="625"/>
      <c r="B1683" s="629"/>
    </row>
    <row r="1684" spans="1:2" ht="12" customHeight="1">
      <c r="A1684" s="625"/>
      <c r="B1684" s="629"/>
    </row>
    <row r="1685" spans="1:2" ht="12" customHeight="1">
      <c r="A1685" s="625"/>
      <c r="B1685" s="629"/>
    </row>
    <row r="1686" spans="1:2" ht="12" customHeight="1">
      <c r="A1686" s="625"/>
      <c r="B1686" s="629"/>
    </row>
    <row r="1687" spans="1:2" ht="12" customHeight="1">
      <c r="A1687" s="625"/>
      <c r="B1687" s="629"/>
    </row>
    <row r="1688" spans="1:2" ht="12" customHeight="1">
      <c r="A1688" s="625"/>
      <c r="B1688" s="629"/>
    </row>
    <row r="1689" spans="1:2" ht="12" customHeight="1">
      <c r="A1689" s="625"/>
      <c r="B1689" s="629"/>
    </row>
    <row r="1690" spans="1:2" ht="12" customHeight="1">
      <c r="A1690" s="625"/>
      <c r="B1690" s="629"/>
    </row>
    <row r="1691" spans="1:2" ht="12" customHeight="1">
      <c r="A1691" s="625"/>
      <c r="B1691" s="629"/>
    </row>
    <row r="1692" spans="1:2" ht="12" customHeight="1">
      <c r="A1692" s="625"/>
      <c r="B1692" s="629"/>
    </row>
    <row r="1693" spans="1:2" ht="12" customHeight="1">
      <c r="A1693" s="625"/>
      <c r="B1693" s="629"/>
    </row>
    <row r="1694" spans="1:2" ht="12" customHeight="1">
      <c r="A1694" s="625"/>
      <c r="B1694" s="629"/>
    </row>
    <row r="1695" spans="1:2" ht="12" customHeight="1">
      <c r="A1695" s="625"/>
      <c r="B1695" s="629"/>
    </row>
    <row r="1696" spans="1:2" ht="12" customHeight="1">
      <c r="A1696" s="625"/>
      <c r="B1696" s="629"/>
    </row>
    <row r="1697" spans="1:2" ht="12" customHeight="1">
      <c r="A1697" s="625"/>
      <c r="B1697" s="629"/>
    </row>
    <row r="1698" spans="1:2" ht="12" customHeight="1">
      <c r="A1698" s="625"/>
      <c r="B1698" s="629"/>
    </row>
    <row r="1699" spans="1:2" ht="12" customHeight="1">
      <c r="A1699" s="625"/>
      <c r="B1699" s="629"/>
    </row>
    <row r="1700" spans="1:2" ht="12" customHeight="1">
      <c r="A1700" s="625"/>
      <c r="B1700" s="629"/>
    </row>
    <row r="1701" spans="1:2" ht="12" customHeight="1">
      <c r="A1701" s="625"/>
      <c r="B1701" s="629"/>
    </row>
    <row r="1702" spans="1:2" ht="12" customHeight="1">
      <c r="A1702" s="625"/>
      <c r="B1702" s="629"/>
    </row>
    <row r="1703" spans="1:2" ht="12" customHeight="1">
      <c r="A1703" s="625"/>
      <c r="B1703" s="629"/>
    </row>
    <row r="1704" spans="1:2" ht="12" customHeight="1">
      <c r="A1704" s="625"/>
      <c r="B1704" s="629"/>
    </row>
    <row r="1705" spans="1:2" ht="12" customHeight="1">
      <c r="A1705" s="625"/>
      <c r="B1705" s="629"/>
    </row>
    <row r="1706" spans="1:2" ht="12" customHeight="1">
      <c r="A1706" s="625"/>
      <c r="B1706" s="629"/>
    </row>
    <row r="1707" spans="1:2" ht="12" customHeight="1">
      <c r="A1707" s="625"/>
      <c r="B1707" s="629"/>
    </row>
    <row r="1708" spans="1:2" ht="12" customHeight="1">
      <c r="A1708" s="625"/>
      <c r="B1708" s="629"/>
    </row>
    <row r="1709" spans="1:2" ht="12" customHeight="1">
      <c r="A1709" s="625"/>
      <c r="B1709" s="629"/>
    </row>
    <row r="1710" spans="1:2" ht="12" customHeight="1">
      <c r="A1710" s="625"/>
      <c r="B1710" s="629"/>
    </row>
    <row r="1711" spans="1:2" ht="12" customHeight="1">
      <c r="A1711" s="625"/>
      <c r="B1711" s="629"/>
    </row>
    <row r="1712" spans="1:2" ht="12" customHeight="1">
      <c r="A1712" s="625"/>
      <c r="B1712" s="629"/>
    </row>
    <row r="1713" spans="1:2" ht="12" customHeight="1">
      <c r="A1713" s="625"/>
      <c r="B1713" s="629"/>
    </row>
    <row r="1714" spans="1:2" ht="12" customHeight="1">
      <c r="A1714" s="625"/>
      <c r="B1714" s="629"/>
    </row>
    <row r="1715" spans="1:2" ht="12" customHeight="1">
      <c r="A1715" s="625"/>
      <c r="B1715" s="629"/>
    </row>
    <row r="1716" spans="1:2" ht="12" customHeight="1">
      <c r="A1716" s="625"/>
      <c r="B1716" s="629"/>
    </row>
    <row r="1717" spans="1:2" ht="12" customHeight="1">
      <c r="A1717" s="625"/>
      <c r="B1717" s="629"/>
    </row>
    <row r="1718" spans="1:2" ht="12" customHeight="1">
      <c r="A1718" s="625"/>
      <c r="B1718" s="629"/>
    </row>
    <row r="1719" spans="1:2" ht="12" customHeight="1">
      <c r="A1719" s="625"/>
      <c r="B1719" s="629"/>
    </row>
    <row r="1720" spans="1:2" ht="12" customHeight="1">
      <c r="A1720" s="625"/>
      <c r="B1720" s="629"/>
    </row>
    <row r="1721" spans="1:2" ht="12" customHeight="1">
      <c r="A1721" s="625"/>
      <c r="B1721" s="629"/>
    </row>
    <row r="1722" spans="1:2" ht="12" customHeight="1">
      <c r="A1722" s="625"/>
      <c r="B1722" s="629"/>
    </row>
    <row r="1723" spans="1:2" ht="12" customHeight="1">
      <c r="A1723" s="625"/>
      <c r="B1723" s="629"/>
    </row>
    <row r="1724" spans="1:2" ht="12" customHeight="1">
      <c r="A1724" s="625"/>
      <c r="B1724" s="629"/>
    </row>
    <row r="1725" spans="1:2" ht="12" customHeight="1">
      <c r="A1725" s="625"/>
      <c r="B1725" s="629"/>
    </row>
    <row r="1726" spans="1:2" ht="12" customHeight="1">
      <c r="A1726" s="625"/>
      <c r="B1726" s="629"/>
    </row>
    <row r="1727" spans="1:2" ht="12" customHeight="1">
      <c r="A1727" s="625"/>
      <c r="B1727" s="629"/>
    </row>
    <row r="1728" spans="1:2" ht="12" customHeight="1">
      <c r="A1728" s="625"/>
      <c r="B1728" s="629"/>
    </row>
    <row r="1729" spans="1:2" ht="12" customHeight="1">
      <c r="A1729" s="625"/>
      <c r="B1729" s="629"/>
    </row>
    <row r="1730" spans="1:2" ht="12" customHeight="1">
      <c r="A1730" s="625"/>
      <c r="B1730" s="629"/>
    </row>
    <row r="1731" spans="1:2" ht="12" customHeight="1">
      <c r="A1731" s="625"/>
      <c r="B1731" s="629"/>
    </row>
    <row r="1732" spans="1:2" ht="12" customHeight="1">
      <c r="A1732" s="625"/>
      <c r="B1732" s="629"/>
    </row>
    <row r="1733" spans="1:2" ht="12" customHeight="1">
      <c r="A1733" s="625"/>
      <c r="B1733" s="629"/>
    </row>
    <row r="1734" spans="1:2" ht="12" customHeight="1">
      <c r="A1734" s="625"/>
      <c r="B1734" s="629"/>
    </row>
    <row r="1735" spans="1:2" ht="12" customHeight="1">
      <c r="A1735" s="625"/>
      <c r="B1735" s="629"/>
    </row>
    <row r="1736" spans="1:2" ht="12" customHeight="1">
      <c r="A1736" s="625"/>
      <c r="B1736" s="629"/>
    </row>
    <row r="1737" spans="1:2" ht="12" customHeight="1">
      <c r="A1737" s="625"/>
      <c r="B1737" s="629"/>
    </row>
    <row r="1738" spans="1:2" ht="12" customHeight="1">
      <c r="A1738" s="625"/>
      <c r="B1738" s="629"/>
    </row>
    <row r="1739" spans="1:2" ht="12" customHeight="1">
      <c r="A1739" s="625"/>
      <c r="B1739" s="629"/>
    </row>
    <row r="1740" spans="1:2" ht="12" customHeight="1">
      <c r="A1740" s="625"/>
      <c r="B1740" s="629"/>
    </row>
    <row r="1741" spans="1:2" ht="12" customHeight="1">
      <c r="A1741" s="625"/>
      <c r="B1741" s="629"/>
    </row>
    <row r="1742" spans="1:2" ht="12" customHeight="1">
      <c r="A1742" s="625"/>
      <c r="B1742" s="629"/>
    </row>
    <row r="1743" spans="1:2" ht="12" customHeight="1">
      <c r="A1743" s="625"/>
      <c r="B1743" s="629"/>
    </row>
    <row r="1744" spans="1:2" ht="12" customHeight="1">
      <c r="A1744" s="625"/>
      <c r="B1744" s="629"/>
    </row>
    <row r="1745" spans="1:2" ht="12" customHeight="1">
      <c r="A1745" s="625"/>
      <c r="B1745" s="629"/>
    </row>
    <row r="1746" spans="1:2" ht="12" customHeight="1">
      <c r="A1746" s="625"/>
      <c r="B1746" s="629"/>
    </row>
    <row r="1747" spans="1:2" ht="12" customHeight="1">
      <c r="A1747" s="625"/>
      <c r="B1747" s="629"/>
    </row>
    <row r="1748" spans="1:2" ht="12" customHeight="1">
      <c r="A1748" s="625"/>
      <c r="B1748" s="629"/>
    </row>
    <row r="1749" spans="1:2" ht="12" customHeight="1">
      <c r="A1749" s="625"/>
      <c r="B1749" s="629"/>
    </row>
    <row r="1750" spans="1:2" ht="12" customHeight="1">
      <c r="A1750" s="625"/>
      <c r="B1750" s="629"/>
    </row>
    <row r="1751" spans="1:2" ht="12" customHeight="1">
      <c r="A1751" s="625"/>
      <c r="B1751" s="629"/>
    </row>
    <row r="1752" spans="1:2" ht="12" customHeight="1">
      <c r="A1752" s="625"/>
      <c r="B1752" s="629"/>
    </row>
    <row r="1753" spans="1:2" ht="12" customHeight="1">
      <c r="A1753" s="625"/>
      <c r="B1753" s="629"/>
    </row>
    <row r="1754" spans="1:2" ht="12" customHeight="1">
      <c r="A1754" s="625"/>
      <c r="B1754" s="629"/>
    </row>
    <row r="1755" spans="1:2" ht="12" customHeight="1">
      <c r="A1755" s="625"/>
      <c r="B1755" s="629"/>
    </row>
    <row r="1756" spans="1:2" ht="12" customHeight="1">
      <c r="A1756" s="625"/>
      <c r="B1756" s="629"/>
    </row>
    <row r="1757" spans="1:2" ht="12" customHeight="1">
      <c r="A1757" s="625"/>
      <c r="B1757" s="629"/>
    </row>
    <row r="1758" spans="1:2" ht="12" customHeight="1">
      <c r="A1758" s="625"/>
      <c r="B1758" s="629"/>
    </row>
    <row r="1759" spans="1:2" ht="12" customHeight="1">
      <c r="A1759" s="625"/>
      <c r="B1759" s="629"/>
    </row>
    <row r="1760" spans="1:2" ht="12" customHeight="1">
      <c r="A1760" s="625"/>
      <c r="B1760" s="629"/>
    </row>
    <row r="1761" spans="1:2" ht="12" customHeight="1">
      <c r="A1761" s="625"/>
      <c r="B1761" s="629"/>
    </row>
    <row r="1762" spans="1:2" ht="12" customHeight="1">
      <c r="A1762" s="625"/>
      <c r="B1762" s="629"/>
    </row>
    <row r="1763" spans="1:2" ht="12" customHeight="1">
      <c r="A1763" s="625"/>
      <c r="B1763" s="629"/>
    </row>
    <row r="1764" spans="1:2" ht="12" customHeight="1">
      <c r="A1764" s="625"/>
      <c r="B1764" s="629"/>
    </row>
    <row r="1765" spans="1:2" ht="12" customHeight="1">
      <c r="A1765" s="625"/>
      <c r="B1765" s="629"/>
    </row>
    <row r="1766" spans="1:2" ht="12" customHeight="1">
      <c r="A1766" s="625"/>
      <c r="B1766" s="629"/>
    </row>
    <row r="1767" spans="1:2" ht="12" customHeight="1">
      <c r="A1767" s="625"/>
      <c r="B1767" s="629"/>
    </row>
    <row r="1768" spans="1:2" ht="12" customHeight="1">
      <c r="A1768" s="625"/>
      <c r="B1768" s="629"/>
    </row>
    <row r="1769" spans="1:2" ht="12" customHeight="1">
      <c r="A1769" s="625"/>
      <c r="B1769" s="629"/>
    </row>
    <row r="1770" spans="1:2" ht="12" customHeight="1">
      <c r="A1770" s="625"/>
      <c r="B1770" s="629"/>
    </row>
    <row r="1771" spans="1:2" ht="12" customHeight="1">
      <c r="A1771" s="625"/>
      <c r="B1771" s="629"/>
    </row>
    <row r="1772" spans="1:2" ht="12" customHeight="1">
      <c r="A1772" s="625"/>
      <c r="B1772" s="629"/>
    </row>
    <row r="1773" spans="1:2" ht="12" customHeight="1">
      <c r="A1773" s="625"/>
      <c r="B1773" s="629"/>
    </row>
    <row r="1774" spans="1:2" ht="12" customHeight="1">
      <c r="A1774" s="625"/>
      <c r="B1774" s="629"/>
    </row>
    <row r="1775" spans="1:2" ht="12" customHeight="1">
      <c r="A1775" s="625"/>
      <c r="B1775" s="629"/>
    </row>
    <row r="1776" spans="1:2" ht="12" customHeight="1">
      <c r="A1776" s="625"/>
      <c r="B1776" s="629"/>
    </row>
    <row r="1777" spans="1:2" ht="12" customHeight="1">
      <c r="A1777" s="625"/>
      <c r="B1777" s="629"/>
    </row>
    <row r="1778" spans="1:2" ht="12" customHeight="1">
      <c r="A1778" s="625"/>
      <c r="B1778" s="629"/>
    </row>
    <row r="1779" spans="1:2" ht="12" customHeight="1">
      <c r="A1779" s="625"/>
      <c r="B1779" s="629"/>
    </row>
    <row r="1780" spans="1:2" ht="12" customHeight="1">
      <c r="A1780" s="625"/>
      <c r="B1780" s="629"/>
    </row>
    <row r="1781" spans="1:2" ht="12" customHeight="1">
      <c r="A1781" s="625"/>
      <c r="B1781" s="629"/>
    </row>
    <row r="1782" spans="1:2" ht="12" customHeight="1">
      <c r="A1782" s="625"/>
      <c r="B1782" s="629"/>
    </row>
    <row r="1783" spans="1:2" ht="12" customHeight="1">
      <c r="A1783" s="625"/>
      <c r="B1783" s="629"/>
    </row>
    <row r="1784" spans="1:2" ht="12" customHeight="1">
      <c r="A1784" s="625"/>
      <c r="B1784" s="629"/>
    </row>
    <row r="1785" spans="1:2" ht="12" customHeight="1">
      <c r="A1785" s="625"/>
      <c r="B1785" s="629"/>
    </row>
    <row r="1786" spans="1:2" ht="12" customHeight="1">
      <c r="A1786" s="625"/>
      <c r="B1786" s="629"/>
    </row>
    <row r="1787" spans="1:2" ht="12" customHeight="1">
      <c r="A1787" s="625"/>
      <c r="B1787" s="629"/>
    </row>
    <row r="1788" spans="1:2" ht="12" customHeight="1">
      <c r="A1788" s="625"/>
      <c r="B1788" s="629"/>
    </row>
    <row r="1789" spans="1:2" ht="12" customHeight="1">
      <c r="A1789" s="625"/>
      <c r="B1789" s="629"/>
    </row>
    <row r="1790" spans="1:2" ht="12" customHeight="1">
      <c r="A1790" s="625"/>
      <c r="B1790" s="629"/>
    </row>
    <row r="1791" spans="1:2" ht="12" customHeight="1">
      <c r="A1791" s="625"/>
      <c r="B1791" s="629"/>
    </row>
    <row r="1792" spans="1:2" ht="12" customHeight="1">
      <c r="A1792" s="625"/>
      <c r="B1792" s="629"/>
    </row>
    <row r="1793" spans="1:2" ht="12" customHeight="1">
      <c r="A1793" s="625"/>
      <c r="B1793" s="629"/>
    </row>
    <row r="1794" spans="1:2" ht="12" customHeight="1">
      <c r="A1794" s="625"/>
      <c r="B1794" s="629"/>
    </row>
    <row r="1795" spans="1:2" ht="12" customHeight="1">
      <c r="A1795" s="625"/>
      <c r="B1795" s="629"/>
    </row>
    <row r="1796" spans="1:2" ht="12" customHeight="1">
      <c r="A1796" s="625"/>
      <c r="B1796" s="629"/>
    </row>
    <row r="1797" spans="1:2" ht="12" customHeight="1">
      <c r="A1797" s="625"/>
      <c r="B1797" s="629"/>
    </row>
    <row r="1798" spans="1:2" ht="12" customHeight="1">
      <c r="A1798" s="625"/>
      <c r="B1798" s="629"/>
    </row>
    <row r="1799" spans="1:2" ht="12" customHeight="1">
      <c r="A1799" s="625"/>
      <c r="B1799" s="629"/>
    </row>
    <row r="1800" spans="1:2" ht="12" customHeight="1">
      <c r="A1800" s="625"/>
      <c r="B1800" s="629"/>
    </row>
    <row r="1801" spans="1:2" ht="12" customHeight="1">
      <c r="A1801" s="625"/>
      <c r="B1801" s="629"/>
    </row>
    <row r="1802" spans="1:2" ht="12" customHeight="1">
      <c r="A1802" s="625"/>
      <c r="B1802" s="629"/>
    </row>
    <row r="1803" spans="1:2" ht="12" customHeight="1">
      <c r="A1803" s="625"/>
      <c r="B1803" s="629"/>
    </row>
    <row r="1804" spans="1:2" ht="12" customHeight="1">
      <c r="A1804" s="625"/>
      <c r="B1804" s="629"/>
    </row>
    <row r="1805" spans="1:2" ht="12" customHeight="1">
      <c r="A1805" s="625"/>
      <c r="B1805" s="629"/>
    </row>
    <row r="1806" spans="1:2" ht="12" customHeight="1">
      <c r="A1806" s="625"/>
      <c r="B1806" s="629"/>
    </row>
    <row r="1807" spans="1:2" ht="12" customHeight="1">
      <c r="A1807" s="625"/>
      <c r="B1807" s="629"/>
    </row>
    <row r="1808" spans="1:2" ht="12" customHeight="1">
      <c r="A1808" s="625"/>
      <c r="B1808" s="629"/>
    </row>
    <row r="1809" spans="1:2" ht="12" customHeight="1">
      <c r="A1809" s="625"/>
      <c r="B1809" s="629"/>
    </row>
    <row r="1810" spans="1:2" ht="12" customHeight="1">
      <c r="A1810" s="625"/>
      <c r="B1810" s="629"/>
    </row>
    <row r="1811" spans="1:2" ht="12" customHeight="1">
      <c r="A1811" s="625"/>
      <c r="B1811" s="629"/>
    </row>
    <row r="1812" spans="1:2" ht="12" customHeight="1">
      <c r="A1812" s="625"/>
      <c r="B1812" s="629"/>
    </row>
    <row r="1813" spans="1:2" ht="12" customHeight="1">
      <c r="A1813" s="625"/>
      <c r="B1813" s="629"/>
    </row>
    <row r="1814" spans="1:2" ht="12" customHeight="1">
      <c r="A1814" s="625"/>
      <c r="B1814" s="629"/>
    </row>
    <row r="1815" spans="1:2" ht="12" customHeight="1">
      <c r="A1815" s="625"/>
      <c r="B1815" s="629"/>
    </row>
    <row r="1816" spans="1:2" ht="12" customHeight="1">
      <c r="A1816" s="625"/>
      <c r="B1816" s="629"/>
    </row>
    <row r="1817" spans="1:2" ht="12" customHeight="1">
      <c r="A1817" s="625"/>
      <c r="B1817" s="629"/>
    </row>
    <row r="1818" spans="1:2" ht="12" customHeight="1">
      <c r="A1818" s="625"/>
      <c r="B1818" s="629"/>
    </row>
    <row r="1819" spans="1:2" ht="12" customHeight="1">
      <c r="A1819" s="625"/>
      <c r="B1819" s="629"/>
    </row>
    <row r="1820" spans="1:2" ht="12" customHeight="1">
      <c r="A1820" s="625"/>
      <c r="B1820" s="629"/>
    </row>
    <row r="1821" spans="1:2" ht="12" customHeight="1">
      <c r="A1821" s="625"/>
      <c r="B1821" s="629"/>
    </row>
    <row r="1822" spans="1:2" ht="12" customHeight="1">
      <c r="A1822" s="625"/>
      <c r="B1822" s="629"/>
    </row>
    <row r="1823" spans="1:2" ht="12" customHeight="1">
      <c r="A1823" s="625"/>
      <c r="B1823" s="629"/>
    </row>
    <row r="1824" spans="1:2" ht="12" customHeight="1">
      <c r="A1824" s="625"/>
      <c r="B1824" s="629"/>
    </row>
    <row r="1825" spans="1:2" ht="12" customHeight="1">
      <c r="A1825" s="625"/>
      <c r="B1825" s="629"/>
    </row>
    <row r="1826" spans="1:2" ht="12" customHeight="1">
      <c r="A1826" s="625"/>
      <c r="B1826" s="629"/>
    </row>
    <row r="1827" spans="1:2" ht="12" customHeight="1">
      <c r="A1827" s="625"/>
      <c r="B1827" s="629"/>
    </row>
    <row r="1828" spans="1:2" ht="12" customHeight="1">
      <c r="A1828" s="625"/>
      <c r="B1828" s="629"/>
    </row>
    <row r="1829" spans="1:2" ht="12" customHeight="1">
      <c r="A1829" s="625"/>
      <c r="B1829" s="629"/>
    </row>
    <row r="1830" spans="1:2" ht="12" customHeight="1">
      <c r="A1830" s="625"/>
      <c r="B1830" s="629"/>
    </row>
    <row r="1831" spans="1:2" ht="12" customHeight="1">
      <c r="A1831" s="625"/>
      <c r="B1831" s="629"/>
    </row>
    <row r="1832" spans="1:2" ht="12" customHeight="1">
      <c r="A1832" s="625"/>
      <c r="B1832" s="629"/>
    </row>
    <row r="1833" spans="1:2" ht="12" customHeight="1">
      <c r="A1833" s="625"/>
      <c r="B1833" s="629"/>
    </row>
    <row r="1834" spans="1:2" ht="12" customHeight="1">
      <c r="A1834" s="625"/>
      <c r="B1834" s="629"/>
    </row>
    <row r="1835" spans="1:2" ht="12" customHeight="1">
      <c r="A1835" s="625"/>
      <c r="B1835" s="629"/>
    </row>
    <row r="1836" spans="1:2" ht="12" customHeight="1">
      <c r="A1836" s="625"/>
      <c r="B1836" s="629"/>
    </row>
    <row r="1837" spans="1:2" ht="12" customHeight="1">
      <c r="A1837" s="625"/>
      <c r="B1837" s="629"/>
    </row>
    <row r="1838" spans="1:2" ht="12" customHeight="1">
      <c r="A1838" s="625"/>
      <c r="B1838" s="629"/>
    </row>
    <row r="1839" spans="1:2" ht="12" customHeight="1">
      <c r="A1839" s="625"/>
      <c r="B1839" s="629"/>
    </row>
    <row r="1840" spans="1:2" ht="12" customHeight="1">
      <c r="A1840" s="625"/>
      <c r="B1840" s="629"/>
    </row>
    <row r="1841" spans="1:2" ht="12" customHeight="1">
      <c r="A1841" s="625"/>
      <c r="B1841" s="629"/>
    </row>
    <row r="1842" spans="1:2" ht="12" customHeight="1">
      <c r="A1842" s="625"/>
      <c r="B1842" s="629"/>
    </row>
    <row r="1843" spans="1:2" ht="12" customHeight="1">
      <c r="A1843" s="625"/>
      <c r="B1843" s="629"/>
    </row>
    <row r="1844" spans="1:2" ht="12" customHeight="1">
      <c r="A1844" s="625"/>
      <c r="B1844" s="629"/>
    </row>
    <row r="1845" spans="1:2" ht="12" customHeight="1">
      <c r="A1845" s="625"/>
      <c r="B1845" s="629"/>
    </row>
    <row r="1846" spans="1:2" ht="12" customHeight="1">
      <c r="A1846" s="625"/>
      <c r="B1846" s="629"/>
    </row>
    <row r="1847" spans="1:2" ht="12" customHeight="1">
      <c r="A1847" s="625"/>
      <c r="B1847" s="629"/>
    </row>
    <row r="1848" spans="1:2" ht="12" customHeight="1">
      <c r="A1848" s="625"/>
      <c r="B1848" s="629"/>
    </row>
    <row r="1849" spans="1:2" ht="12" customHeight="1">
      <c r="A1849" s="625"/>
      <c r="B1849" s="629"/>
    </row>
    <row r="1850" spans="1:2" ht="12" customHeight="1">
      <c r="A1850" s="625"/>
      <c r="B1850" s="629"/>
    </row>
    <row r="1851" spans="1:2" ht="12" customHeight="1">
      <c r="A1851" s="625"/>
      <c r="B1851" s="629"/>
    </row>
    <row r="1852" spans="1:2" ht="12" customHeight="1">
      <c r="A1852" s="625"/>
      <c r="B1852" s="629"/>
    </row>
    <row r="1853" spans="1:2" ht="12" customHeight="1">
      <c r="A1853" s="625"/>
      <c r="B1853" s="629"/>
    </row>
    <row r="1854" spans="1:2" ht="12" customHeight="1">
      <c r="A1854" s="625"/>
      <c r="B1854" s="629"/>
    </row>
    <row r="1855" spans="1:2" ht="12" customHeight="1">
      <c r="A1855" s="625"/>
      <c r="B1855" s="629"/>
    </row>
    <row r="1856" spans="1:2" ht="12" customHeight="1">
      <c r="A1856" s="625"/>
      <c r="B1856" s="629"/>
    </row>
    <row r="1857" spans="1:2" ht="12" customHeight="1">
      <c r="A1857" s="625"/>
      <c r="B1857" s="629"/>
    </row>
    <row r="1858" spans="1:2" ht="12" customHeight="1">
      <c r="A1858" s="625"/>
      <c r="B1858" s="629"/>
    </row>
    <row r="1859" spans="1:2" ht="12" customHeight="1">
      <c r="A1859" s="625"/>
      <c r="B1859" s="629"/>
    </row>
    <row r="1860" spans="1:2" ht="12" customHeight="1">
      <c r="A1860" s="625"/>
      <c r="B1860" s="629"/>
    </row>
    <row r="1861" spans="1:2" ht="12" customHeight="1">
      <c r="A1861" s="625"/>
      <c r="B1861" s="629"/>
    </row>
    <row r="1862" spans="1:2" ht="12" customHeight="1">
      <c r="A1862" s="625"/>
      <c r="B1862" s="629"/>
    </row>
    <row r="1863" spans="1:2" ht="12" customHeight="1">
      <c r="A1863" s="625"/>
      <c r="B1863" s="629"/>
    </row>
    <row r="1864" spans="1:2" ht="12" customHeight="1">
      <c r="A1864" s="625"/>
      <c r="B1864" s="629"/>
    </row>
    <row r="1865" spans="1:2" ht="12" customHeight="1">
      <c r="A1865" s="625"/>
      <c r="B1865" s="629"/>
    </row>
    <row r="1866" spans="1:2" ht="12" customHeight="1">
      <c r="A1866" s="625"/>
      <c r="B1866" s="629"/>
    </row>
    <row r="1867" spans="1:2" ht="12" customHeight="1">
      <c r="A1867" s="625"/>
      <c r="B1867" s="629"/>
    </row>
    <row r="1868" spans="1:2" ht="12" customHeight="1">
      <c r="A1868" s="625"/>
      <c r="B1868" s="629"/>
    </row>
    <row r="1869" spans="1:2" ht="12" customHeight="1">
      <c r="A1869" s="625"/>
      <c r="B1869" s="629"/>
    </row>
    <row r="1870" spans="1:2" ht="12" customHeight="1">
      <c r="A1870" s="625"/>
      <c r="B1870" s="629"/>
    </row>
    <row r="1871" spans="1:2" ht="12" customHeight="1">
      <c r="A1871" s="625"/>
      <c r="B1871" s="629"/>
    </row>
    <row r="1872" spans="1:2" ht="12" customHeight="1">
      <c r="A1872" s="625"/>
      <c r="B1872" s="629"/>
    </row>
    <row r="1873" spans="1:2" ht="12" customHeight="1">
      <c r="A1873" s="625"/>
      <c r="B1873" s="629"/>
    </row>
    <row r="1874" spans="1:2" ht="12" customHeight="1">
      <c r="A1874" s="625"/>
      <c r="B1874" s="629"/>
    </row>
    <row r="1875" spans="1:2" ht="12" customHeight="1">
      <c r="A1875" s="625"/>
      <c r="B1875" s="629"/>
    </row>
    <row r="1876" spans="1:2" ht="12" customHeight="1">
      <c r="A1876" s="625"/>
      <c r="B1876" s="629"/>
    </row>
    <row r="1877" spans="1:2" ht="12" customHeight="1">
      <c r="A1877" s="625"/>
      <c r="B1877" s="629"/>
    </row>
    <row r="1878" spans="1:2" ht="12" customHeight="1">
      <c r="A1878" s="625"/>
      <c r="B1878" s="629"/>
    </row>
    <row r="1879" spans="1:2" ht="12" customHeight="1">
      <c r="A1879" s="625"/>
      <c r="B1879" s="629"/>
    </row>
    <row r="1880" spans="1:2" ht="12" customHeight="1">
      <c r="A1880" s="625"/>
      <c r="B1880" s="629"/>
    </row>
    <row r="1881" spans="1:2" ht="12" customHeight="1">
      <c r="A1881" s="625"/>
      <c r="B1881" s="629"/>
    </row>
    <row r="1882" spans="1:2" ht="12" customHeight="1">
      <c r="A1882" s="625"/>
      <c r="B1882" s="629"/>
    </row>
    <row r="1883" spans="1:2" ht="12" customHeight="1">
      <c r="A1883" s="625"/>
      <c r="B1883" s="629"/>
    </row>
    <row r="1884" spans="1:2" ht="12" customHeight="1">
      <c r="A1884" s="625"/>
      <c r="B1884" s="629"/>
    </row>
    <row r="1885" spans="1:2" ht="12" customHeight="1">
      <c r="A1885" s="625"/>
      <c r="B1885" s="629"/>
    </row>
    <row r="1886" spans="1:2" ht="12" customHeight="1">
      <c r="A1886" s="625"/>
      <c r="B1886" s="629"/>
    </row>
    <row r="1887" spans="1:2" ht="12" customHeight="1">
      <c r="A1887" s="625"/>
      <c r="B1887" s="629"/>
    </row>
    <row r="1888" spans="1:2" ht="12" customHeight="1">
      <c r="A1888" s="625"/>
      <c r="B1888" s="629"/>
    </row>
    <row r="1889" spans="1:2" ht="12" customHeight="1">
      <c r="A1889" s="625"/>
      <c r="B1889" s="629"/>
    </row>
    <row r="1890" spans="1:2" ht="12" customHeight="1">
      <c r="A1890" s="625"/>
      <c r="B1890" s="629"/>
    </row>
    <row r="1891" spans="1:2" ht="12" customHeight="1">
      <c r="A1891" s="625"/>
      <c r="B1891" s="629"/>
    </row>
    <row r="1892" spans="1:2" ht="12" customHeight="1">
      <c r="A1892" s="625"/>
      <c r="B1892" s="629"/>
    </row>
    <row r="1893" spans="1:2" ht="12" customHeight="1">
      <c r="A1893" s="625"/>
      <c r="B1893" s="629"/>
    </row>
    <row r="1894" spans="1:2" ht="12" customHeight="1">
      <c r="A1894" s="625"/>
      <c r="B1894" s="629"/>
    </row>
    <row r="1895" spans="1:2" ht="12" customHeight="1">
      <c r="A1895" s="625"/>
      <c r="B1895" s="629"/>
    </row>
    <row r="1896" spans="1:2" ht="12" customHeight="1">
      <c r="A1896" s="625"/>
      <c r="B1896" s="629"/>
    </row>
    <row r="1897" spans="1:2" ht="12" customHeight="1">
      <c r="A1897" s="625"/>
      <c r="B1897" s="629"/>
    </row>
    <row r="1898" spans="1:2" ht="12" customHeight="1">
      <c r="A1898" s="625"/>
      <c r="B1898" s="629"/>
    </row>
    <row r="1899" spans="1:2" ht="12" customHeight="1">
      <c r="A1899" s="625"/>
      <c r="B1899" s="629"/>
    </row>
    <row r="1900" spans="1:2" ht="12" customHeight="1">
      <c r="A1900" s="625"/>
      <c r="B1900" s="629"/>
    </row>
    <row r="1901" spans="1:2" ht="12" customHeight="1">
      <c r="A1901" s="625"/>
      <c r="B1901" s="629"/>
    </row>
    <row r="1902" spans="1:2" ht="12" customHeight="1">
      <c r="A1902" s="625"/>
      <c r="B1902" s="629"/>
    </row>
    <row r="1903" spans="1:2" ht="12" customHeight="1">
      <c r="A1903" s="625"/>
      <c r="B1903" s="629"/>
    </row>
    <row r="1904" spans="1:2" ht="12" customHeight="1">
      <c r="A1904" s="625"/>
      <c r="B1904" s="629"/>
    </row>
    <row r="1905" spans="1:2" ht="12" customHeight="1">
      <c r="A1905" s="625"/>
      <c r="B1905" s="629"/>
    </row>
    <row r="1906" spans="1:2" ht="12" customHeight="1">
      <c r="A1906" s="625"/>
      <c r="B1906" s="629"/>
    </row>
    <row r="1907" spans="1:2" ht="12" customHeight="1">
      <c r="A1907" s="625"/>
      <c r="B1907" s="629"/>
    </row>
    <row r="1908" spans="1:2" ht="12" customHeight="1">
      <c r="A1908" s="625"/>
      <c r="B1908" s="629"/>
    </row>
    <row r="1909" spans="1:2" ht="12" customHeight="1">
      <c r="A1909" s="625"/>
      <c r="B1909" s="629"/>
    </row>
    <row r="1910" spans="1:2" ht="12" customHeight="1">
      <c r="A1910" s="625"/>
      <c r="B1910" s="629"/>
    </row>
    <row r="1911" spans="1:2" ht="12" customHeight="1">
      <c r="A1911" s="625"/>
      <c r="B1911" s="629"/>
    </row>
    <row r="1912" spans="1:2" ht="12" customHeight="1">
      <c r="A1912" s="625"/>
      <c r="B1912" s="629"/>
    </row>
    <row r="1913" spans="1:2" ht="12" customHeight="1">
      <c r="A1913" s="625"/>
      <c r="B1913" s="629"/>
    </row>
    <row r="1914" spans="1:2" ht="12" customHeight="1">
      <c r="A1914" s="625"/>
      <c r="B1914" s="629"/>
    </row>
    <row r="1915" spans="1:2" ht="12" customHeight="1">
      <c r="A1915" s="625"/>
      <c r="B1915" s="629"/>
    </row>
    <row r="1916" spans="1:2" ht="12" customHeight="1">
      <c r="A1916" s="625"/>
      <c r="B1916" s="629"/>
    </row>
    <row r="1917" spans="1:2" ht="12" customHeight="1">
      <c r="A1917" s="625"/>
      <c r="B1917" s="629"/>
    </row>
    <row r="1918" spans="1:2" ht="12" customHeight="1">
      <c r="A1918" s="625"/>
      <c r="B1918" s="629"/>
    </row>
    <row r="1919" spans="1:2" ht="12" customHeight="1">
      <c r="A1919" s="625"/>
      <c r="B1919" s="629"/>
    </row>
    <row r="1920" spans="1:2" ht="12" customHeight="1">
      <c r="A1920" s="625"/>
      <c r="B1920" s="629"/>
    </row>
    <row r="1921" spans="1:2" ht="12" customHeight="1">
      <c r="A1921" s="625"/>
      <c r="B1921" s="629"/>
    </row>
    <row r="1922" spans="1:2" ht="12" customHeight="1">
      <c r="A1922" s="625"/>
      <c r="B1922" s="629"/>
    </row>
    <row r="1923" spans="1:2" ht="12" customHeight="1">
      <c r="A1923" s="625"/>
      <c r="B1923" s="629"/>
    </row>
    <row r="1924" spans="1:2" ht="12" customHeight="1">
      <c r="A1924" s="625"/>
      <c r="B1924" s="629"/>
    </row>
    <row r="1925" spans="1:2" ht="12" customHeight="1">
      <c r="A1925" s="625"/>
      <c r="B1925" s="629"/>
    </row>
    <row r="1926" spans="1:2" ht="12" customHeight="1">
      <c r="A1926" s="625"/>
      <c r="B1926" s="629"/>
    </row>
    <row r="1927" spans="1:2" ht="12" customHeight="1">
      <c r="A1927" s="625"/>
      <c r="B1927" s="629"/>
    </row>
    <row r="1928" spans="1:2" ht="12" customHeight="1">
      <c r="A1928" s="625"/>
      <c r="B1928" s="629"/>
    </row>
    <row r="1929" spans="1:2" ht="12" customHeight="1">
      <c r="A1929" s="625"/>
      <c r="B1929" s="629"/>
    </row>
    <row r="1930" spans="1:2" ht="12" customHeight="1">
      <c r="A1930" s="625"/>
      <c r="B1930" s="629"/>
    </row>
    <row r="1931" spans="1:2" ht="12" customHeight="1">
      <c r="A1931" s="625"/>
      <c r="B1931" s="629"/>
    </row>
    <row r="1932" spans="1:2" ht="12" customHeight="1">
      <c r="A1932" s="625"/>
      <c r="B1932" s="629"/>
    </row>
    <row r="1933" spans="1:2" ht="12" customHeight="1">
      <c r="A1933" s="625"/>
      <c r="B1933" s="629"/>
    </row>
    <row r="1934" spans="1:2" ht="12" customHeight="1">
      <c r="A1934" s="625"/>
      <c r="B1934" s="629"/>
    </row>
    <row r="1935" spans="1:2" ht="12" customHeight="1">
      <c r="A1935" s="625"/>
      <c r="B1935" s="629"/>
    </row>
    <row r="1936" spans="1:2" ht="12" customHeight="1">
      <c r="A1936" s="625"/>
      <c r="B1936" s="629"/>
    </row>
    <row r="1937" spans="1:2" ht="12" customHeight="1">
      <c r="A1937" s="625"/>
      <c r="B1937" s="629"/>
    </row>
    <row r="1938" spans="1:2" ht="12" customHeight="1">
      <c r="A1938" s="625"/>
      <c r="B1938" s="629"/>
    </row>
    <row r="1939" spans="1:2" ht="12" customHeight="1">
      <c r="A1939" s="625"/>
      <c r="B1939" s="629"/>
    </row>
    <row r="1940" spans="1:2" ht="12" customHeight="1">
      <c r="A1940" s="625"/>
      <c r="B1940" s="629"/>
    </row>
    <row r="1941" spans="1:2" ht="12" customHeight="1">
      <c r="A1941" s="625"/>
      <c r="B1941" s="629"/>
    </row>
    <row r="1942" spans="1:2" ht="12" customHeight="1">
      <c r="A1942" s="625"/>
      <c r="B1942" s="629"/>
    </row>
    <row r="1943" spans="1:2" ht="12" customHeight="1">
      <c r="A1943" s="625"/>
      <c r="B1943" s="629"/>
    </row>
    <row r="1944" spans="1:2" ht="12" customHeight="1">
      <c r="A1944" s="625"/>
      <c r="B1944" s="629"/>
    </row>
    <row r="1945" spans="1:2" ht="12" customHeight="1">
      <c r="A1945" s="625"/>
      <c r="B1945" s="629"/>
    </row>
    <row r="1946" spans="1:2" ht="12" customHeight="1">
      <c r="A1946" s="625"/>
      <c r="B1946" s="629"/>
    </row>
    <row r="1947" spans="1:2" ht="12" customHeight="1">
      <c r="A1947" s="625"/>
      <c r="B1947" s="629"/>
    </row>
    <row r="1948" spans="1:2" ht="12" customHeight="1">
      <c r="A1948" s="625"/>
      <c r="B1948" s="629"/>
    </row>
    <row r="1949" spans="1:2" ht="12" customHeight="1">
      <c r="A1949" s="625"/>
      <c r="B1949" s="629"/>
    </row>
    <row r="1950" spans="1:2" ht="12" customHeight="1">
      <c r="A1950" s="625"/>
      <c r="B1950" s="629"/>
    </row>
    <row r="1951" spans="1:2" ht="12" customHeight="1">
      <c r="A1951" s="625"/>
      <c r="B1951" s="629"/>
    </row>
    <row r="1952" spans="1:2" ht="12" customHeight="1">
      <c r="A1952" s="625"/>
      <c r="B1952" s="629"/>
    </row>
    <row r="1953" spans="1:2" ht="12" customHeight="1">
      <c r="A1953" s="625"/>
      <c r="B1953" s="629"/>
    </row>
    <row r="1954" spans="1:2" ht="12" customHeight="1">
      <c r="A1954" s="625"/>
      <c r="B1954" s="629"/>
    </row>
    <row r="1955" spans="1:2" ht="12" customHeight="1">
      <c r="A1955" s="625"/>
      <c r="B1955" s="629"/>
    </row>
    <row r="1956" spans="1:2" ht="12" customHeight="1">
      <c r="A1956" s="625"/>
      <c r="B1956" s="629"/>
    </row>
    <row r="1957" spans="1:2" ht="12" customHeight="1">
      <c r="A1957" s="625"/>
      <c r="B1957" s="629"/>
    </row>
    <row r="1958" spans="1:2" ht="12" customHeight="1">
      <c r="A1958" s="625"/>
      <c r="B1958" s="629"/>
    </row>
    <row r="1959" spans="1:2" ht="12" customHeight="1">
      <c r="A1959" s="625"/>
      <c r="B1959" s="629"/>
    </row>
    <row r="1960" spans="1:2" ht="12" customHeight="1">
      <c r="A1960" s="625"/>
      <c r="B1960" s="629"/>
    </row>
    <row r="1961" spans="1:2" ht="12" customHeight="1">
      <c r="A1961" s="625"/>
      <c r="B1961" s="629"/>
    </row>
    <row r="1962" spans="1:2" ht="12" customHeight="1">
      <c r="A1962" s="625"/>
      <c r="B1962" s="629"/>
    </row>
    <row r="1963" spans="1:2" ht="12" customHeight="1">
      <c r="A1963" s="625"/>
      <c r="B1963" s="629"/>
    </row>
    <row r="1964" spans="1:2" ht="12" customHeight="1">
      <c r="A1964" s="625"/>
      <c r="B1964" s="629"/>
    </row>
    <row r="1965" spans="1:2" ht="12" customHeight="1">
      <c r="A1965" s="625"/>
      <c r="B1965" s="629"/>
    </row>
    <row r="1966" spans="1:2" ht="12" customHeight="1">
      <c r="A1966" s="625"/>
      <c r="B1966" s="629"/>
    </row>
    <row r="1967" spans="1:2" ht="12" customHeight="1">
      <c r="A1967" s="625"/>
      <c r="B1967" s="629"/>
    </row>
    <row r="1968" spans="1:2" ht="12" customHeight="1">
      <c r="A1968" s="625"/>
      <c r="B1968" s="629"/>
    </row>
    <row r="1969" spans="1:2" ht="12" customHeight="1">
      <c r="A1969" s="625"/>
      <c r="B1969" s="629"/>
    </row>
    <row r="1970" spans="1:2" ht="12" customHeight="1">
      <c r="A1970" s="625"/>
      <c r="B1970" s="629"/>
    </row>
    <row r="1971" spans="1:2" ht="12" customHeight="1">
      <c r="A1971" s="625"/>
      <c r="B1971" s="629"/>
    </row>
    <row r="1972" spans="1:2" ht="12" customHeight="1">
      <c r="A1972" s="625"/>
      <c r="B1972" s="629"/>
    </row>
    <row r="1973" spans="1:2" ht="12" customHeight="1">
      <c r="A1973" s="625"/>
      <c r="B1973" s="629"/>
    </row>
    <row r="1974" spans="1:2" ht="12" customHeight="1">
      <c r="A1974" s="625"/>
      <c r="B1974" s="629"/>
    </row>
    <row r="1975" spans="1:2" ht="12" customHeight="1">
      <c r="A1975" s="625"/>
      <c r="B1975" s="629"/>
    </row>
    <row r="1976" spans="1:2" ht="12" customHeight="1">
      <c r="A1976" s="625"/>
      <c r="B1976" s="629"/>
    </row>
    <row r="1977" spans="1:2" ht="12" customHeight="1">
      <c r="A1977" s="625"/>
      <c r="B1977" s="629"/>
    </row>
    <row r="1978" spans="1:2" ht="12" customHeight="1">
      <c r="A1978" s="625"/>
      <c r="B1978" s="629"/>
    </row>
    <row r="1979" spans="1:2" ht="12" customHeight="1">
      <c r="A1979" s="625"/>
      <c r="B1979" s="629"/>
    </row>
    <row r="1980" spans="1:2" ht="12" customHeight="1">
      <c r="A1980" s="625"/>
      <c r="B1980" s="629"/>
    </row>
    <row r="1981" spans="1:2" ht="12" customHeight="1">
      <c r="A1981" s="625"/>
      <c r="B1981" s="629"/>
    </row>
    <row r="1982" spans="1:2" ht="12" customHeight="1">
      <c r="A1982" s="625"/>
      <c r="B1982" s="629"/>
    </row>
    <row r="1983" spans="1:2" ht="12" customHeight="1">
      <c r="A1983" s="625"/>
      <c r="B1983" s="629"/>
    </row>
    <row r="1984" spans="1:2" ht="12" customHeight="1">
      <c r="A1984" s="625"/>
      <c r="B1984" s="629"/>
    </row>
    <row r="1985" spans="1:2" ht="12" customHeight="1">
      <c r="A1985" s="625"/>
      <c r="B1985" s="629"/>
    </row>
    <row r="1986" spans="1:2" ht="12" customHeight="1">
      <c r="A1986" s="625"/>
      <c r="B1986" s="629"/>
    </row>
    <row r="1987" spans="1:2" ht="12" customHeight="1">
      <c r="A1987" s="625"/>
      <c r="B1987" s="629"/>
    </row>
    <row r="1988" spans="1:2" ht="12" customHeight="1">
      <c r="A1988" s="625"/>
      <c r="B1988" s="629"/>
    </row>
    <row r="1989" spans="1:2" ht="12" customHeight="1">
      <c r="A1989" s="625"/>
      <c r="B1989" s="629"/>
    </row>
    <row r="1990" spans="1:2" ht="12" customHeight="1">
      <c r="A1990" s="625"/>
      <c r="B1990" s="629"/>
    </row>
    <row r="1991" spans="1:2" ht="12" customHeight="1">
      <c r="A1991" s="625"/>
      <c r="B1991" s="629"/>
    </row>
    <row r="1992" spans="1:2" ht="12" customHeight="1">
      <c r="A1992" s="625"/>
      <c r="B1992" s="629"/>
    </row>
    <row r="1993" spans="1:2" ht="12" customHeight="1">
      <c r="A1993" s="625"/>
      <c r="B1993" s="629"/>
    </row>
    <row r="1994" spans="1:2" ht="12" customHeight="1">
      <c r="A1994" s="625"/>
      <c r="B1994" s="629"/>
    </row>
    <row r="1995" spans="1:2" ht="12" customHeight="1">
      <c r="A1995" s="625"/>
      <c r="B1995" s="629"/>
    </row>
    <row r="1996" spans="1:2" ht="12" customHeight="1">
      <c r="A1996" s="625"/>
      <c r="B1996" s="629"/>
    </row>
    <row r="1997" spans="1:2" ht="12" customHeight="1">
      <c r="A1997" s="625"/>
      <c r="B1997" s="629"/>
    </row>
    <row r="1998" spans="1:2" ht="12" customHeight="1">
      <c r="A1998" s="625"/>
      <c r="B1998" s="629"/>
    </row>
    <row r="1999" spans="1:2" ht="12" customHeight="1">
      <c r="A1999" s="625"/>
      <c r="B1999" s="629"/>
    </row>
    <row r="2000" spans="1:2" ht="12" customHeight="1">
      <c r="A2000" s="625"/>
      <c r="B2000" s="629"/>
    </row>
    <row r="2001" spans="1:2" ht="12" customHeight="1">
      <c r="A2001" s="625"/>
      <c r="B2001" s="629"/>
    </row>
    <row r="2002" spans="1:2" ht="12" customHeight="1">
      <c r="A2002" s="625"/>
      <c r="B2002" s="629"/>
    </row>
    <row r="2003" spans="1:2" ht="12" customHeight="1">
      <c r="A2003" s="625"/>
      <c r="B2003" s="629"/>
    </row>
    <row r="2004" spans="1:2" ht="12" customHeight="1">
      <c r="A2004" s="625"/>
      <c r="B2004" s="629"/>
    </row>
    <row r="2005" spans="1:2" ht="12" customHeight="1">
      <c r="A2005" s="625"/>
      <c r="B2005" s="629"/>
    </row>
    <row r="2006" spans="1:2" ht="12" customHeight="1">
      <c r="A2006" s="625"/>
      <c r="B2006" s="629"/>
    </row>
    <row r="2007" spans="1:2" ht="12" customHeight="1">
      <c r="A2007" s="625"/>
      <c r="B2007" s="629"/>
    </row>
    <row r="2008" spans="1:2" ht="12" customHeight="1">
      <c r="A2008" s="625"/>
      <c r="B2008" s="629"/>
    </row>
    <row r="2009" spans="1:2" ht="12" customHeight="1">
      <c r="A2009" s="625"/>
      <c r="B2009" s="629"/>
    </row>
    <row r="2010" spans="1:2" ht="12" customHeight="1">
      <c r="A2010" s="625"/>
      <c r="B2010" s="629"/>
    </row>
    <row r="2011" spans="1:2" ht="12" customHeight="1">
      <c r="A2011" s="625"/>
      <c r="B2011" s="629"/>
    </row>
    <row r="2012" spans="1:2" ht="12" customHeight="1">
      <c r="A2012" s="625"/>
      <c r="B2012" s="629"/>
    </row>
    <row r="2013" spans="1:2" ht="12" customHeight="1">
      <c r="A2013" s="625"/>
      <c r="B2013" s="629"/>
    </row>
    <row r="2014" spans="1:2" ht="12" customHeight="1">
      <c r="A2014" s="625"/>
      <c r="B2014" s="629"/>
    </row>
    <row r="2015" spans="1:2" ht="12" customHeight="1">
      <c r="A2015" s="625"/>
      <c r="B2015" s="629"/>
    </row>
    <row r="2016" spans="1:2" ht="12" customHeight="1">
      <c r="A2016" s="625"/>
      <c r="B2016" s="629"/>
    </row>
    <row r="2017" spans="1:2" ht="12" customHeight="1">
      <c r="A2017" s="625"/>
      <c r="B2017" s="629"/>
    </row>
    <row r="2018" spans="1:2" ht="12" customHeight="1">
      <c r="A2018" s="625"/>
      <c r="B2018" s="629"/>
    </row>
    <row r="2019" spans="1:2" ht="12" customHeight="1">
      <c r="A2019" s="625"/>
      <c r="B2019" s="629"/>
    </row>
    <row r="2020" spans="1:2" ht="12" customHeight="1">
      <c r="A2020" s="625"/>
      <c r="B2020" s="629"/>
    </row>
    <row r="2021" spans="1:2" ht="12" customHeight="1">
      <c r="A2021" s="625"/>
      <c r="B2021" s="629"/>
    </row>
    <row r="2022" spans="1:2" ht="12" customHeight="1">
      <c r="A2022" s="625"/>
      <c r="B2022" s="629"/>
    </row>
    <row r="2023" spans="1:2" ht="12" customHeight="1">
      <c r="A2023" s="625"/>
      <c r="B2023" s="629"/>
    </row>
    <row r="2024" spans="1:2" ht="12" customHeight="1">
      <c r="A2024" s="625"/>
      <c r="B2024" s="629"/>
    </row>
    <row r="2025" spans="1:2" ht="12" customHeight="1">
      <c r="A2025" s="625"/>
      <c r="B2025" s="629"/>
    </row>
    <row r="2026" spans="1:2" ht="12" customHeight="1">
      <c r="A2026" s="625"/>
      <c r="B2026" s="629"/>
    </row>
    <row r="2027" spans="1:2" ht="12" customHeight="1">
      <c r="A2027" s="625"/>
      <c r="B2027" s="629"/>
    </row>
    <row r="2028" spans="1:2" ht="12" customHeight="1">
      <c r="A2028" s="625"/>
      <c r="B2028" s="629"/>
    </row>
    <row r="2029" spans="1:2" ht="12" customHeight="1">
      <c r="A2029" s="625"/>
      <c r="B2029" s="629"/>
    </row>
    <row r="2030" spans="1:2" ht="12" customHeight="1">
      <c r="A2030" s="625"/>
      <c r="B2030" s="629"/>
    </row>
    <row r="2031" spans="1:2" ht="12" customHeight="1">
      <c r="A2031" s="625"/>
      <c r="B2031" s="629"/>
    </row>
    <row r="2032" spans="1:2" ht="12" customHeight="1">
      <c r="A2032" s="625"/>
      <c r="B2032" s="629"/>
    </row>
    <row r="2033" spans="1:2" ht="12" customHeight="1">
      <c r="A2033" s="625"/>
      <c r="B2033" s="629"/>
    </row>
    <row r="2034" spans="1:2" ht="12" customHeight="1">
      <c r="A2034" s="625"/>
      <c r="B2034" s="629"/>
    </row>
    <row r="2035" spans="1:2" ht="12" customHeight="1">
      <c r="A2035" s="625"/>
      <c r="B2035" s="629"/>
    </row>
    <row r="2036" spans="1:2" ht="12" customHeight="1">
      <c r="A2036" s="625"/>
      <c r="B2036" s="629"/>
    </row>
    <row r="2037" spans="1:2" ht="12" customHeight="1">
      <c r="A2037" s="625"/>
      <c r="B2037" s="629"/>
    </row>
    <row r="2038" spans="1:2" ht="12" customHeight="1">
      <c r="A2038" s="625"/>
      <c r="B2038" s="629"/>
    </row>
    <row r="2039" spans="1:2" ht="12" customHeight="1">
      <c r="A2039" s="625"/>
      <c r="B2039" s="629"/>
    </row>
    <row r="2040" spans="1:2" ht="12" customHeight="1">
      <c r="A2040" s="625"/>
      <c r="B2040" s="629"/>
    </row>
    <row r="2041" spans="1:2" ht="12" customHeight="1">
      <c r="A2041" s="625"/>
      <c r="B2041" s="629"/>
    </row>
    <row r="2042" spans="1:2" ht="12" customHeight="1">
      <c r="A2042" s="625"/>
      <c r="B2042" s="629"/>
    </row>
    <row r="2043" spans="1:2" ht="12" customHeight="1">
      <c r="A2043" s="625"/>
      <c r="B2043" s="629"/>
    </row>
    <row r="2044" spans="1:2" ht="12" customHeight="1">
      <c r="A2044" s="625"/>
      <c r="B2044" s="629"/>
    </row>
    <row r="2045" spans="1:2" ht="12" customHeight="1">
      <c r="A2045" s="625"/>
      <c r="B2045" s="629"/>
    </row>
    <row r="2046" spans="1:2" ht="12" customHeight="1">
      <c r="A2046" s="625"/>
      <c r="B2046" s="629"/>
    </row>
    <row r="2047" spans="1:2" ht="12" customHeight="1">
      <c r="A2047" s="625"/>
      <c r="B2047" s="629"/>
    </row>
    <row r="2048" spans="1:2" ht="12" customHeight="1">
      <c r="A2048" s="625"/>
      <c r="B2048" s="629"/>
    </row>
    <row r="2049" spans="1:2" ht="12" customHeight="1">
      <c r="A2049" s="625"/>
      <c r="B2049" s="629"/>
    </row>
    <row r="2050" spans="1:2" ht="12" customHeight="1">
      <c r="A2050" s="625"/>
      <c r="B2050" s="629"/>
    </row>
    <row r="2051" spans="1:2" ht="12" customHeight="1">
      <c r="A2051" s="625"/>
      <c r="B2051" s="629"/>
    </row>
    <row r="2052" spans="1:2" ht="12" customHeight="1">
      <c r="A2052" s="625"/>
      <c r="B2052" s="629"/>
    </row>
    <row r="2053" spans="1:2" ht="12" customHeight="1">
      <c r="A2053" s="625"/>
      <c r="B2053" s="629"/>
    </row>
    <row r="2054" spans="1:2" ht="12" customHeight="1">
      <c r="A2054" s="625"/>
      <c r="B2054" s="629"/>
    </row>
    <row r="2055" spans="1:2" ht="12" customHeight="1">
      <c r="A2055" s="625"/>
      <c r="B2055" s="629"/>
    </row>
    <row r="2056" spans="1:2" ht="12" customHeight="1">
      <c r="A2056" s="625"/>
      <c r="B2056" s="629"/>
    </row>
    <row r="2057" spans="1:2" ht="12" customHeight="1">
      <c r="A2057" s="625"/>
      <c r="B2057" s="629"/>
    </row>
    <row r="2058" spans="1:2" ht="12" customHeight="1">
      <c r="A2058" s="625"/>
      <c r="B2058" s="629"/>
    </row>
    <row r="2059" spans="1:2" ht="12" customHeight="1">
      <c r="A2059" s="625"/>
      <c r="B2059" s="629"/>
    </row>
    <row r="2060" spans="1:2" ht="12" customHeight="1">
      <c r="A2060" s="625"/>
      <c r="B2060" s="629"/>
    </row>
    <row r="2061" spans="1:2" ht="12" customHeight="1">
      <c r="A2061" s="625"/>
      <c r="B2061" s="629"/>
    </row>
    <row r="2062" spans="1:2" ht="12" customHeight="1">
      <c r="A2062" s="625"/>
      <c r="B2062" s="629"/>
    </row>
    <row r="2063" spans="1:2" ht="12" customHeight="1">
      <c r="A2063" s="625"/>
      <c r="B2063" s="629"/>
    </row>
    <row r="2064" spans="1:2" ht="12" customHeight="1">
      <c r="A2064" s="625"/>
      <c r="B2064" s="629"/>
    </row>
    <row r="2065" spans="1:2" ht="12" customHeight="1">
      <c r="A2065" s="625"/>
      <c r="B2065" s="629"/>
    </row>
    <row r="2066" spans="1:2" ht="12" customHeight="1">
      <c r="A2066" s="625"/>
      <c r="B2066" s="629"/>
    </row>
    <row r="2067" spans="1:2" ht="12" customHeight="1">
      <c r="A2067" s="625"/>
      <c r="B2067" s="629"/>
    </row>
    <row r="2068" spans="1:2" ht="12" customHeight="1">
      <c r="A2068" s="625"/>
      <c r="B2068" s="629"/>
    </row>
    <row r="2069" spans="1:2" ht="12" customHeight="1">
      <c r="A2069" s="625"/>
      <c r="B2069" s="629"/>
    </row>
    <row r="2070" spans="1:2" ht="12" customHeight="1">
      <c r="A2070" s="625"/>
      <c r="B2070" s="629"/>
    </row>
    <row r="2071" spans="1:2" ht="12" customHeight="1">
      <c r="A2071" s="625"/>
      <c r="B2071" s="629"/>
    </row>
    <row r="2072" spans="1:2" ht="12" customHeight="1">
      <c r="A2072" s="625"/>
      <c r="B2072" s="629"/>
    </row>
    <row r="2073" spans="1:2" ht="12" customHeight="1">
      <c r="A2073" s="625"/>
      <c r="B2073" s="629"/>
    </row>
    <row r="2074" spans="1:2" ht="12" customHeight="1">
      <c r="A2074" s="625"/>
      <c r="B2074" s="629"/>
    </row>
    <row r="2075" spans="1:2" ht="12" customHeight="1">
      <c r="A2075" s="625"/>
      <c r="B2075" s="629"/>
    </row>
    <row r="2076" spans="1:2" ht="12" customHeight="1">
      <c r="A2076" s="625"/>
      <c r="B2076" s="629"/>
    </row>
    <row r="2077" spans="1:2" ht="12" customHeight="1">
      <c r="A2077" s="625"/>
      <c r="B2077" s="629"/>
    </row>
    <row r="2078" spans="1:2" ht="12" customHeight="1">
      <c r="A2078" s="625"/>
      <c r="B2078" s="629"/>
    </row>
    <row r="2079" spans="1:2" ht="12" customHeight="1">
      <c r="A2079" s="625"/>
      <c r="B2079" s="629"/>
    </row>
    <row r="2080" spans="1:2" ht="12" customHeight="1">
      <c r="A2080" s="625"/>
      <c r="B2080" s="629"/>
    </row>
    <row r="2081" spans="1:2" ht="12" customHeight="1">
      <c r="A2081" s="625"/>
      <c r="B2081" s="629"/>
    </row>
    <row r="2082" spans="1:2" ht="12" customHeight="1">
      <c r="A2082" s="625"/>
      <c r="B2082" s="629"/>
    </row>
    <row r="2083" spans="1:2" ht="12" customHeight="1">
      <c r="A2083" s="625"/>
      <c r="B2083" s="629"/>
    </row>
    <row r="2084" spans="1:2" ht="12" customHeight="1">
      <c r="A2084" s="625"/>
      <c r="B2084" s="629"/>
    </row>
    <row r="2085" spans="1:2" ht="12" customHeight="1">
      <c r="A2085" s="625"/>
      <c r="B2085" s="629"/>
    </row>
    <row r="2086" spans="1:2" ht="12" customHeight="1">
      <c r="A2086" s="625"/>
      <c r="B2086" s="629"/>
    </row>
    <row r="2087" spans="1:2" ht="12" customHeight="1">
      <c r="A2087" s="625"/>
      <c r="B2087" s="629"/>
    </row>
    <row r="2088" spans="1:2" ht="12" customHeight="1">
      <c r="A2088" s="625"/>
      <c r="B2088" s="629"/>
    </row>
    <row r="2089" spans="1:2" ht="12" customHeight="1">
      <c r="A2089" s="625"/>
      <c r="B2089" s="629"/>
    </row>
    <row r="2090" spans="1:2" ht="12" customHeight="1">
      <c r="A2090" s="625"/>
      <c r="B2090" s="629"/>
    </row>
    <row r="2091" spans="1:2" ht="12" customHeight="1">
      <c r="A2091" s="625"/>
      <c r="B2091" s="629"/>
    </row>
    <row r="2092" spans="1:2" ht="12" customHeight="1">
      <c r="A2092" s="625"/>
      <c r="B2092" s="629"/>
    </row>
    <row r="2093" spans="1:2" ht="12" customHeight="1">
      <c r="A2093" s="625"/>
      <c r="B2093" s="629"/>
    </row>
    <row r="2094" spans="1:2" ht="12" customHeight="1">
      <c r="A2094" s="625"/>
      <c r="B2094" s="629"/>
    </row>
    <row r="2095" spans="1:2" ht="12" customHeight="1">
      <c r="A2095" s="625"/>
      <c r="B2095" s="629"/>
    </row>
    <row r="2096" spans="1:2" ht="12" customHeight="1">
      <c r="A2096" s="625"/>
      <c r="B2096" s="629"/>
    </row>
    <row r="2097" spans="1:4" ht="12" customHeight="1">
      <c r="A2097" s="625"/>
      <c r="B2097" s="629"/>
    </row>
    <row r="2098" spans="1:4" ht="12" customHeight="1">
      <c r="A2098" s="625"/>
      <c r="B2098" s="629"/>
    </row>
    <row r="2099" spans="1:4" ht="12" customHeight="1">
      <c r="A2099" s="625"/>
      <c r="B2099" s="629"/>
    </row>
    <row r="2100" spans="1:4" ht="12" customHeight="1">
      <c r="A2100" s="625"/>
      <c r="B2100" s="629"/>
    </row>
    <row r="2101" spans="1:4" ht="12" customHeight="1">
      <c r="A2101" s="625"/>
      <c r="B2101" s="629"/>
    </row>
    <row r="2102" spans="1:4" ht="12" customHeight="1">
      <c r="A2102" s="625"/>
      <c r="B2102" s="629"/>
    </row>
    <row r="2103" spans="1:4" ht="12" customHeight="1">
      <c r="A2103" s="625"/>
      <c r="B2103" s="629"/>
    </row>
    <row r="2104" spans="1:4" ht="12" customHeight="1">
      <c r="A2104" s="625"/>
      <c r="B2104" s="629"/>
    </row>
    <row r="2105" spans="1:4" ht="12" customHeight="1">
      <c r="A2105" s="625"/>
      <c r="B2105" s="629"/>
    </row>
    <row r="2106" spans="1:4" ht="12" customHeight="1">
      <c r="A2106" s="625"/>
      <c r="B2106" s="629"/>
    </row>
    <row r="2107" spans="1:4" ht="12" customHeight="1">
      <c r="A2107" s="625"/>
      <c r="B2107" s="629"/>
    </row>
    <row r="2108" spans="1:4" ht="12" customHeight="1">
      <c r="A2108" s="625"/>
      <c r="B2108" s="629"/>
      <c r="D2108" s="132"/>
    </row>
    <row r="2109" spans="1:4" ht="12" customHeight="1">
      <c r="A2109" s="625"/>
      <c r="B2109" s="629"/>
    </row>
    <row r="2110" spans="1:4" ht="12" customHeight="1">
      <c r="A2110" s="625"/>
      <c r="B2110" s="629"/>
    </row>
    <row r="2111" spans="1:4" ht="12" customHeight="1">
      <c r="A2111" s="605"/>
      <c r="B2111" s="568"/>
    </row>
    <row r="2112" spans="1:4" ht="12" customHeight="1">
      <c r="A2112" s="605"/>
      <c r="B2112" s="568"/>
    </row>
    <row r="2113" spans="1:2" ht="12" customHeight="1">
      <c r="A2113" s="605"/>
      <c r="B2113" s="568"/>
    </row>
    <row r="2114" spans="1:2" ht="12" customHeight="1">
      <c r="A2114" s="605"/>
      <c r="B2114" s="568"/>
    </row>
    <row r="2115" spans="1:2" ht="12" customHeight="1">
      <c r="A2115" s="605"/>
      <c r="B2115" s="568"/>
    </row>
    <row r="2116" spans="1:2" ht="12" customHeight="1">
      <c r="A2116" s="605"/>
      <c r="B2116" s="568"/>
    </row>
    <row r="2117" spans="1:2" ht="12" customHeight="1">
      <c r="A2117" s="605"/>
      <c r="B2117" s="568"/>
    </row>
    <row r="2118" spans="1:2" ht="12" customHeight="1">
      <c r="A2118" s="605"/>
      <c r="B2118" s="568"/>
    </row>
    <row r="2119" spans="1:2" ht="12" customHeight="1">
      <c r="A2119" s="605"/>
      <c r="B2119" s="568"/>
    </row>
    <row r="2120" spans="1:2" ht="12" customHeight="1">
      <c r="A2120" s="605"/>
      <c r="B2120" s="568"/>
    </row>
    <row r="2121" spans="1:2" ht="12" customHeight="1">
      <c r="A2121" s="605"/>
      <c r="B2121" s="568"/>
    </row>
    <row r="2122" spans="1:2" ht="12" customHeight="1">
      <c r="A2122" s="605"/>
      <c r="B2122" s="568"/>
    </row>
    <row r="2123" spans="1:2" ht="12" customHeight="1">
      <c r="A2123" s="605"/>
      <c r="B2123" s="568"/>
    </row>
    <row r="2124" spans="1:2" ht="12" customHeight="1">
      <c r="A2124" s="605"/>
      <c r="B2124" s="568"/>
    </row>
    <row r="2125" spans="1:2" ht="12" customHeight="1">
      <c r="A2125" s="605"/>
      <c r="B2125" s="568"/>
    </row>
    <row r="2126" spans="1:2" ht="12" customHeight="1">
      <c r="A2126" s="605"/>
      <c r="B2126" s="568"/>
    </row>
    <row r="2127" spans="1:2" ht="12" customHeight="1">
      <c r="A2127" s="605"/>
      <c r="B2127" s="568"/>
    </row>
    <row r="2128" spans="1:2" ht="12" customHeight="1">
      <c r="A2128" s="605"/>
      <c r="B2128" s="568"/>
    </row>
    <row r="2129" spans="1:2" ht="12" customHeight="1">
      <c r="A2129" s="605"/>
      <c r="B2129" s="568"/>
    </row>
    <row r="2130" spans="1:2" ht="12" customHeight="1">
      <c r="A2130" s="605"/>
      <c r="B2130" s="568"/>
    </row>
    <row r="2131" spans="1:2" ht="12" customHeight="1">
      <c r="A2131" s="605"/>
      <c r="B2131" s="568"/>
    </row>
    <row r="2132" spans="1:2" ht="12" customHeight="1">
      <c r="A2132" s="605"/>
      <c r="B2132" s="568"/>
    </row>
    <row r="2133" spans="1:2" ht="12" customHeight="1">
      <c r="A2133" s="605"/>
      <c r="B2133" s="568"/>
    </row>
    <row r="2134" spans="1:2" ht="12" customHeight="1">
      <c r="A2134" s="605"/>
      <c r="B2134" s="568"/>
    </row>
    <row r="2135" spans="1:2" ht="12" customHeight="1">
      <c r="A2135" s="605"/>
      <c r="B2135" s="568"/>
    </row>
    <row r="2136" spans="1:2" ht="12" customHeight="1">
      <c r="A2136" s="605"/>
      <c r="B2136" s="568"/>
    </row>
    <row r="2137" spans="1:2" ht="12" customHeight="1">
      <c r="A2137" s="605"/>
      <c r="B2137" s="568"/>
    </row>
    <row r="2138" spans="1:2" ht="12" customHeight="1">
      <c r="A2138" s="605"/>
      <c r="B2138" s="568"/>
    </row>
    <row r="2139" spans="1:2" ht="12" customHeight="1">
      <c r="A2139" s="605"/>
      <c r="B2139" s="568"/>
    </row>
    <row r="2140" spans="1:2" ht="12" customHeight="1">
      <c r="A2140" s="605"/>
      <c r="B2140" s="568"/>
    </row>
    <row r="2141" spans="1:2" ht="12" customHeight="1">
      <c r="A2141" s="605"/>
      <c r="B2141" s="568"/>
    </row>
    <row r="2142" spans="1:2" ht="12" customHeight="1">
      <c r="A2142" s="605"/>
      <c r="B2142" s="568"/>
    </row>
    <row r="2143" spans="1:2" ht="12" customHeight="1">
      <c r="A2143" s="605"/>
      <c r="B2143" s="568"/>
    </row>
    <row r="2144" spans="1:2" ht="12" customHeight="1">
      <c r="A2144" s="605"/>
      <c r="B2144" s="568"/>
    </row>
    <row r="2145" spans="1:2" ht="12" customHeight="1">
      <c r="A2145" s="605"/>
      <c r="B2145" s="568"/>
    </row>
    <row r="2146" spans="1:2" ht="12" customHeight="1">
      <c r="A2146" s="605"/>
      <c r="B2146" s="568"/>
    </row>
    <row r="2147" spans="1:2" ht="12" customHeight="1">
      <c r="A2147" s="605"/>
      <c r="B2147" s="568"/>
    </row>
    <row r="2148" spans="1:2" ht="12" customHeight="1">
      <c r="A2148" s="605"/>
      <c r="B2148" s="568"/>
    </row>
    <row r="2149" spans="1:2" ht="12" customHeight="1">
      <c r="A2149" s="605"/>
      <c r="B2149" s="568"/>
    </row>
    <row r="2150" spans="1:2" ht="12" customHeight="1">
      <c r="A2150" s="605"/>
      <c r="B2150" s="568"/>
    </row>
    <row r="2151" spans="1:2" ht="12" customHeight="1">
      <c r="A2151" s="605"/>
      <c r="B2151" s="568"/>
    </row>
    <row r="2152" spans="1:2" ht="12" customHeight="1">
      <c r="A2152" s="605"/>
      <c r="B2152" s="568"/>
    </row>
    <row r="2153" spans="1:2" ht="12" customHeight="1">
      <c r="A2153" s="605"/>
      <c r="B2153" s="568"/>
    </row>
    <row r="2154" spans="1:2" ht="12" customHeight="1">
      <c r="A2154" s="605"/>
      <c r="B2154" s="568"/>
    </row>
    <row r="2155" spans="1:2" ht="12" customHeight="1">
      <c r="A2155" s="605"/>
      <c r="B2155" s="568"/>
    </row>
    <row r="2156" spans="1:2" ht="12" customHeight="1">
      <c r="A2156" s="605"/>
      <c r="B2156" s="568"/>
    </row>
    <row r="2157" spans="1:2" ht="12" customHeight="1">
      <c r="A2157" s="605"/>
      <c r="B2157" s="568"/>
    </row>
    <row r="2158" spans="1:2" ht="12" customHeight="1">
      <c r="A2158" s="605"/>
      <c r="B2158" s="568"/>
    </row>
    <row r="2159" spans="1:2" ht="12" customHeight="1">
      <c r="A2159" s="605"/>
      <c r="B2159" s="568"/>
    </row>
    <row r="2160" spans="1:2" ht="12" customHeight="1">
      <c r="A2160" s="605"/>
      <c r="B2160" s="568"/>
    </row>
    <row r="2161" spans="1:2" ht="12" customHeight="1">
      <c r="A2161" s="605"/>
      <c r="B2161" s="568"/>
    </row>
    <row r="2162" spans="1:2" ht="12" customHeight="1">
      <c r="A2162" s="605"/>
      <c r="B2162" s="568"/>
    </row>
    <row r="2163" spans="1:2" ht="12" customHeight="1">
      <c r="A2163" s="605"/>
      <c r="B2163" s="568"/>
    </row>
    <row r="2164" spans="1:2" ht="12" customHeight="1">
      <c r="A2164" s="605"/>
      <c r="B2164" s="568"/>
    </row>
    <row r="2165" spans="1:2" ht="12" customHeight="1">
      <c r="A2165" s="605"/>
      <c r="B2165" s="568"/>
    </row>
    <row r="2166" spans="1:2" ht="12" customHeight="1">
      <c r="A2166" s="605"/>
      <c r="B2166" s="568"/>
    </row>
    <row r="2167" spans="1:2" ht="12" customHeight="1">
      <c r="A2167" s="605"/>
      <c r="B2167" s="568"/>
    </row>
    <row r="2168" spans="1:2" ht="12" customHeight="1">
      <c r="A2168" s="605"/>
      <c r="B2168" s="568"/>
    </row>
    <row r="2169" spans="1:2" ht="12" customHeight="1">
      <c r="A2169" s="605"/>
      <c r="B2169" s="568"/>
    </row>
    <row r="2170" spans="1:2" ht="12" customHeight="1">
      <c r="A2170" s="605"/>
      <c r="B2170" s="568"/>
    </row>
    <row r="2171" spans="1:2" ht="12" customHeight="1">
      <c r="A2171" s="605"/>
      <c r="B2171" s="568"/>
    </row>
    <row r="2172" spans="1:2" ht="12" customHeight="1">
      <c r="A2172" s="605"/>
      <c r="B2172" s="568"/>
    </row>
    <row r="2173" spans="1:2" ht="12" customHeight="1">
      <c r="A2173" s="605"/>
      <c r="B2173" s="568"/>
    </row>
    <row r="2174" spans="1:2" ht="12" customHeight="1">
      <c r="A2174" s="605"/>
      <c r="B2174" s="568"/>
    </row>
    <row r="2175" spans="1:2" ht="12" customHeight="1">
      <c r="A2175" s="605"/>
      <c r="B2175" s="568"/>
    </row>
    <row r="2176" spans="1:2" ht="12" customHeight="1">
      <c r="A2176" s="605"/>
      <c r="B2176" s="568"/>
    </row>
    <row r="2177" spans="1:2" ht="12" customHeight="1">
      <c r="A2177" s="605"/>
      <c r="B2177" s="568"/>
    </row>
    <row r="2178" spans="1:2" ht="12" customHeight="1">
      <c r="A2178" s="605"/>
      <c r="B2178" s="568"/>
    </row>
    <row r="2179" spans="1:2" ht="12" customHeight="1">
      <c r="A2179" s="605"/>
      <c r="B2179" s="568"/>
    </row>
    <row r="2180" spans="1:2" ht="12" customHeight="1">
      <c r="A2180" s="605"/>
      <c r="B2180" s="568"/>
    </row>
    <row r="2181" spans="1:2" ht="12" customHeight="1">
      <c r="A2181" s="605"/>
      <c r="B2181" s="568"/>
    </row>
    <row r="2182" spans="1:2" ht="12" customHeight="1">
      <c r="A2182" s="605"/>
      <c r="B2182" s="568"/>
    </row>
    <row r="2183" spans="1:2" ht="12" customHeight="1">
      <c r="A2183" s="605"/>
      <c r="B2183" s="568"/>
    </row>
    <row r="2184" spans="1:2" ht="12" customHeight="1">
      <c r="A2184" s="605"/>
      <c r="B2184" s="568"/>
    </row>
    <row r="2185" spans="1:2" ht="12" customHeight="1">
      <c r="A2185" s="605"/>
      <c r="B2185" s="568"/>
    </row>
    <row r="2186" spans="1:2" ht="12" customHeight="1">
      <c r="A2186" s="605"/>
      <c r="B2186" s="568"/>
    </row>
    <row r="2187" spans="1:2" ht="12" customHeight="1">
      <c r="A2187" s="605"/>
      <c r="B2187" s="568"/>
    </row>
    <row r="2188" spans="1:2" ht="12" customHeight="1">
      <c r="A2188" s="605"/>
      <c r="B2188" s="568"/>
    </row>
    <row r="2189" spans="1:2" ht="12" customHeight="1">
      <c r="A2189" s="605"/>
      <c r="B2189" s="568"/>
    </row>
    <row r="2190" spans="1:2" ht="12" customHeight="1">
      <c r="A2190" s="605"/>
      <c r="B2190" s="568"/>
    </row>
    <row r="2191" spans="1:2" ht="12" customHeight="1">
      <c r="A2191" s="605"/>
      <c r="B2191" s="568"/>
    </row>
    <row r="2192" spans="1:2" ht="12" customHeight="1">
      <c r="A2192" s="605"/>
      <c r="B2192" s="568"/>
    </row>
    <row r="2193" spans="1:2" ht="12" customHeight="1">
      <c r="A2193" s="605"/>
      <c r="B2193" s="568"/>
    </row>
    <row r="2194" spans="1:2" ht="12" customHeight="1">
      <c r="A2194" s="605"/>
      <c r="B2194" s="568"/>
    </row>
    <row r="2195" spans="1:2" ht="12" customHeight="1">
      <c r="A2195" s="605"/>
      <c r="B2195" s="568"/>
    </row>
    <row r="2196" spans="1:2" ht="12" customHeight="1">
      <c r="A2196" s="605"/>
      <c r="B2196" s="568"/>
    </row>
    <row r="2197" spans="1:2" ht="12" customHeight="1">
      <c r="A2197" s="605"/>
      <c r="B2197" s="568"/>
    </row>
    <row r="2198" spans="1:2" ht="12" customHeight="1">
      <c r="A2198" s="605"/>
      <c r="B2198" s="568"/>
    </row>
    <row r="2199" spans="1:2" ht="12" customHeight="1">
      <c r="A2199" s="605"/>
      <c r="B2199" s="568"/>
    </row>
    <row r="2200" spans="1:2" ht="12" customHeight="1">
      <c r="A2200" s="605"/>
      <c r="B2200" s="568"/>
    </row>
    <row r="2201" spans="1:2" ht="12" customHeight="1">
      <c r="A2201" s="605"/>
      <c r="B2201" s="568"/>
    </row>
    <row r="2202" spans="1:2" ht="12" customHeight="1">
      <c r="A2202" s="605"/>
      <c r="B2202" s="568"/>
    </row>
    <row r="2203" spans="1:2" ht="12" customHeight="1">
      <c r="A2203" s="605"/>
      <c r="B2203" s="568"/>
    </row>
    <row r="2204" spans="1:2" ht="12" customHeight="1">
      <c r="A2204" s="605"/>
      <c r="B2204" s="568"/>
    </row>
    <row r="2205" spans="1:2" ht="12" customHeight="1">
      <c r="A2205" s="605"/>
      <c r="B2205" s="568"/>
    </row>
    <row r="2206" spans="1:2" ht="12" customHeight="1">
      <c r="A2206" s="605"/>
      <c r="B2206" s="568"/>
    </row>
    <row r="2207" spans="1:2" ht="12" customHeight="1">
      <c r="A2207" s="605"/>
      <c r="B2207" s="568"/>
    </row>
    <row r="2208" spans="1:2" ht="12" customHeight="1">
      <c r="A2208" s="605"/>
      <c r="B2208" s="568"/>
    </row>
    <row r="2209" spans="1:2" ht="12" customHeight="1">
      <c r="A2209" s="605"/>
      <c r="B2209" s="568"/>
    </row>
    <row r="2210" spans="1:2" ht="12" customHeight="1">
      <c r="A2210" s="605"/>
      <c r="B2210" s="568"/>
    </row>
    <row r="2211" spans="1:2" ht="12" customHeight="1">
      <c r="A2211" s="605"/>
      <c r="B2211" s="568"/>
    </row>
    <row r="2212" spans="1:2" ht="12" customHeight="1">
      <c r="A2212" s="605"/>
      <c r="B2212" s="568"/>
    </row>
    <row r="2213" spans="1:2" ht="12" customHeight="1">
      <c r="A2213" s="605"/>
      <c r="B2213" s="568"/>
    </row>
    <row r="2214" spans="1:2" ht="12" customHeight="1">
      <c r="A2214" s="605"/>
      <c r="B2214" s="568"/>
    </row>
    <row r="2215" spans="1:2" ht="12" customHeight="1">
      <c r="A2215" s="605"/>
      <c r="B2215" s="568"/>
    </row>
    <row r="2216" spans="1:2" ht="12" customHeight="1">
      <c r="A2216" s="605"/>
      <c r="B2216" s="568"/>
    </row>
    <row r="2217" spans="1:2" ht="12" customHeight="1">
      <c r="A2217" s="605"/>
      <c r="B2217" s="568"/>
    </row>
    <row r="2218" spans="1:2" ht="12" customHeight="1">
      <c r="A2218" s="605"/>
      <c r="B2218" s="568"/>
    </row>
    <row r="2219" spans="1:2" ht="12" customHeight="1">
      <c r="A2219" s="605"/>
      <c r="B2219" s="568"/>
    </row>
    <row r="2220" spans="1:2" ht="12" customHeight="1">
      <c r="A2220" s="605"/>
      <c r="B2220" s="568"/>
    </row>
    <row r="2221" spans="1:2" ht="12" customHeight="1">
      <c r="A2221" s="605"/>
      <c r="B2221" s="568"/>
    </row>
    <row r="2222" spans="1:2" ht="12" customHeight="1">
      <c r="A2222" s="605"/>
      <c r="B2222" s="568"/>
    </row>
    <row r="2223" spans="1:2" ht="12" customHeight="1">
      <c r="A2223" s="605"/>
      <c r="B2223" s="568"/>
    </row>
    <row r="2224" spans="1:2" ht="12" customHeight="1">
      <c r="A2224" s="605"/>
      <c r="B2224" s="568"/>
    </row>
    <row r="2225" spans="1:2" ht="12" customHeight="1">
      <c r="A2225" s="605"/>
      <c r="B2225" s="568"/>
    </row>
    <row r="2226" spans="1:2" ht="12" customHeight="1">
      <c r="A2226" s="605"/>
      <c r="B2226" s="568"/>
    </row>
    <row r="2227" spans="1:2" ht="12" customHeight="1">
      <c r="A2227" s="605"/>
      <c r="B2227" s="568"/>
    </row>
    <row r="2228" spans="1:2" ht="12" customHeight="1">
      <c r="A2228" s="605"/>
      <c r="B2228" s="568"/>
    </row>
    <row r="2229" spans="1:2" ht="12" customHeight="1">
      <c r="A2229" s="605"/>
      <c r="B2229" s="568"/>
    </row>
    <row r="2230" spans="1:2" ht="12" customHeight="1">
      <c r="A2230" s="605"/>
      <c r="B2230" s="568"/>
    </row>
    <row r="2231" spans="1:2" ht="12" customHeight="1">
      <c r="A2231" s="605"/>
      <c r="B2231" s="568"/>
    </row>
    <row r="2232" spans="1:2" ht="12" customHeight="1">
      <c r="A2232" s="605"/>
      <c r="B2232" s="568"/>
    </row>
    <row r="2233" spans="1:2" ht="12" customHeight="1">
      <c r="A2233" s="605"/>
      <c r="B2233" s="568"/>
    </row>
    <row r="2234" spans="1:2" ht="12" customHeight="1">
      <c r="A2234" s="605"/>
      <c r="B2234" s="568"/>
    </row>
    <row r="2235" spans="1:2" ht="12" customHeight="1">
      <c r="A2235" s="605"/>
      <c r="B2235" s="568"/>
    </row>
    <row r="2236" spans="1:2" ht="12" customHeight="1">
      <c r="A2236" s="605"/>
      <c r="B2236" s="568"/>
    </row>
    <row r="2237" spans="1:2" ht="12" customHeight="1">
      <c r="A2237" s="605"/>
      <c r="B2237" s="568"/>
    </row>
    <row r="2238" spans="1:2" ht="12" customHeight="1">
      <c r="A2238" s="605"/>
      <c r="B2238" s="568"/>
    </row>
    <row r="2239" spans="1:2" ht="12" customHeight="1">
      <c r="A2239" s="605"/>
      <c r="B2239" s="568"/>
    </row>
    <row r="2240" spans="1:2" ht="12" customHeight="1">
      <c r="A2240" s="605"/>
      <c r="B2240" s="568"/>
    </row>
    <row r="2241" spans="1:2" ht="12" customHeight="1">
      <c r="A2241" s="605"/>
      <c r="B2241" s="568"/>
    </row>
    <row r="2242" spans="1:2" ht="12" customHeight="1">
      <c r="A2242" s="605"/>
      <c r="B2242" s="568"/>
    </row>
    <row r="2243" spans="1:2" ht="12" customHeight="1">
      <c r="A2243" s="605"/>
      <c r="B2243" s="568"/>
    </row>
    <row r="2244" spans="1:2" ht="12" customHeight="1">
      <c r="A2244" s="605"/>
      <c r="B2244" s="568"/>
    </row>
    <row r="2245" spans="1:2" ht="12" customHeight="1">
      <c r="A2245" s="605"/>
      <c r="B2245" s="568"/>
    </row>
    <row r="2246" spans="1:2" ht="12" customHeight="1">
      <c r="A2246" s="605"/>
      <c r="B2246" s="568"/>
    </row>
    <row r="2247" spans="1:2" ht="12" customHeight="1">
      <c r="A2247" s="605"/>
      <c r="B2247" s="568"/>
    </row>
    <row r="2248" spans="1:2" ht="12" customHeight="1">
      <c r="A2248" s="605"/>
      <c r="B2248" s="568"/>
    </row>
    <row r="2249" spans="1:2" ht="12" customHeight="1">
      <c r="A2249" s="605"/>
      <c r="B2249" s="568"/>
    </row>
    <row r="2250" spans="1:2" ht="12" customHeight="1">
      <c r="A2250" s="605"/>
      <c r="B2250" s="568"/>
    </row>
    <row r="2251" spans="1:2" ht="12" customHeight="1">
      <c r="A2251" s="605"/>
      <c r="B2251" s="568"/>
    </row>
    <row r="2252" spans="1:2" ht="12" customHeight="1">
      <c r="A2252" s="605"/>
      <c r="B2252" s="568"/>
    </row>
    <row r="2253" spans="1:2" ht="12" customHeight="1">
      <c r="A2253" s="605"/>
      <c r="B2253" s="568"/>
    </row>
    <row r="2254" spans="1:2" ht="12" customHeight="1">
      <c r="A2254" s="605"/>
      <c r="B2254" s="568"/>
    </row>
    <row r="2255" spans="1:2" ht="12" customHeight="1">
      <c r="A2255" s="605"/>
      <c r="B2255" s="568"/>
    </row>
    <row r="2256" spans="1:2" ht="12" customHeight="1">
      <c r="A2256" s="605"/>
      <c r="B2256" s="568"/>
    </row>
    <row r="2257" spans="1:2" ht="12" customHeight="1">
      <c r="A2257" s="605"/>
      <c r="B2257" s="568"/>
    </row>
    <row r="2258" spans="1:2" ht="12" customHeight="1">
      <c r="A2258" s="605"/>
      <c r="B2258" s="568"/>
    </row>
    <row r="2259" spans="1:2" ht="12" customHeight="1">
      <c r="A2259" s="605"/>
      <c r="B2259" s="568"/>
    </row>
    <row r="2260" spans="1:2" ht="12" customHeight="1">
      <c r="A2260" s="605"/>
      <c r="B2260" s="568"/>
    </row>
    <row r="2261" spans="1:2" ht="12" customHeight="1">
      <c r="A2261" s="605"/>
      <c r="B2261" s="568"/>
    </row>
    <row r="2262" spans="1:2" ht="12" customHeight="1">
      <c r="A2262" s="605"/>
      <c r="B2262" s="568"/>
    </row>
    <row r="2263" spans="1:2" ht="12" customHeight="1">
      <c r="A2263" s="605"/>
      <c r="B2263" s="568"/>
    </row>
    <row r="2264" spans="1:2" ht="12" customHeight="1">
      <c r="A2264" s="605"/>
      <c r="B2264" s="568"/>
    </row>
    <row r="2265" spans="1:2" ht="12" customHeight="1">
      <c r="A2265" s="605"/>
      <c r="B2265" s="568"/>
    </row>
    <row r="2266" spans="1:2" ht="12" customHeight="1">
      <c r="A2266" s="605"/>
      <c r="B2266" s="568"/>
    </row>
    <row r="2267" spans="1:2" ht="12" customHeight="1">
      <c r="A2267" s="605"/>
      <c r="B2267" s="568"/>
    </row>
    <row r="2268" spans="1:2" ht="12" customHeight="1">
      <c r="A2268" s="605"/>
      <c r="B2268" s="568"/>
    </row>
    <row r="2269" spans="1:2" ht="12" customHeight="1">
      <c r="A2269" s="605"/>
      <c r="B2269" s="568"/>
    </row>
    <row r="2270" spans="1:2" ht="12" customHeight="1">
      <c r="A2270" s="605"/>
      <c r="B2270" s="568"/>
    </row>
    <row r="2271" spans="1:2" ht="12" customHeight="1">
      <c r="A2271" s="605"/>
      <c r="B2271" s="568"/>
    </row>
    <row r="2272" spans="1:2" ht="12" customHeight="1">
      <c r="A2272" s="605"/>
      <c r="B2272" s="568"/>
    </row>
    <row r="2273" spans="1:2" ht="12" customHeight="1">
      <c r="A2273" s="605"/>
      <c r="B2273" s="568"/>
    </row>
    <row r="2274" spans="1:2" ht="12" customHeight="1">
      <c r="A2274" s="605"/>
      <c r="B2274" s="568"/>
    </row>
    <row r="2275" spans="1:2" ht="12" customHeight="1">
      <c r="A2275" s="605"/>
      <c r="B2275" s="568"/>
    </row>
    <row r="2276" spans="1:2" ht="12" customHeight="1">
      <c r="A2276" s="605"/>
      <c r="B2276" s="568"/>
    </row>
    <row r="2277" spans="1:2" ht="12" customHeight="1">
      <c r="A2277" s="605"/>
      <c r="B2277" s="568"/>
    </row>
    <row r="2278" spans="1:2" ht="12" customHeight="1">
      <c r="A2278" s="605"/>
      <c r="B2278" s="568"/>
    </row>
    <row r="2279" spans="1:2" ht="12" customHeight="1">
      <c r="A2279" s="605"/>
      <c r="B2279" s="568"/>
    </row>
    <row r="2280" spans="1:2" ht="12" customHeight="1">
      <c r="A2280" s="605"/>
      <c r="B2280" s="568"/>
    </row>
    <row r="2281" spans="1:2" ht="12" customHeight="1">
      <c r="A2281" s="605"/>
      <c r="B2281" s="568"/>
    </row>
    <row r="2282" spans="1:2" ht="12" customHeight="1">
      <c r="A2282" s="605"/>
      <c r="B2282" s="568"/>
    </row>
    <row r="2283" spans="1:2" ht="12" customHeight="1">
      <c r="A2283" s="605"/>
      <c r="B2283" s="568"/>
    </row>
    <row r="2284" spans="1:2" ht="12" customHeight="1">
      <c r="A2284" s="605"/>
      <c r="B2284" s="568"/>
    </row>
    <row r="2285" spans="1:2" ht="12" customHeight="1">
      <c r="A2285" s="605"/>
      <c r="B2285" s="568"/>
    </row>
    <row r="2286" spans="1:2" ht="12" customHeight="1">
      <c r="A2286" s="605"/>
      <c r="B2286" s="568"/>
    </row>
    <row r="2287" spans="1:2" ht="12" customHeight="1">
      <c r="A2287" s="605"/>
      <c r="B2287" s="568"/>
    </row>
    <row r="2288" spans="1:2" ht="12" customHeight="1">
      <c r="A2288" s="605"/>
      <c r="B2288" s="568"/>
    </row>
    <row r="2289" spans="1:2" ht="12" customHeight="1">
      <c r="A2289" s="605"/>
      <c r="B2289" s="568"/>
    </row>
    <row r="2290" spans="1:2" ht="12" customHeight="1">
      <c r="A2290" s="605"/>
      <c r="B2290" s="568"/>
    </row>
    <row r="2291" spans="1:2" ht="12" customHeight="1">
      <c r="A2291" s="605"/>
      <c r="B2291" s="568"/>
    </row>
    <row r="2292" spans="1:2" ht="12" customHeight="1">
      <c r="A2292" s="605"/>
      <c r="B2292" s="568"/>
    </row>
    <row r="2293" spans="1:2" ht="12" customHeight="1">
      <c r="A2293" s="605"/>
      <c r="B2293" s="568"/>
    </row>
    <row r="2294" spans="1:2" ht="12" customHeight="1">
      <c r="A2294" s="605"/>
      <c r="B2294" s="568"/>
    </row>
    <row r="2295" spans="1:2" ht="12" customHeight="1">
      <c r="A2295" s="605"/>
      <c r="B2295" s="568"/>
    </row>
    <row r="2296" spans="1:2" ht="12" customHeight="1">
      <c r="A2296" s="605"/>
      <c r="B2296" s="568"/>
    </row>
    <row r="2297" spans="1:2" ht="12" customHeight="1">
      <c r="A2297" s="605"/>
      <c r="B2297" s="568"/>
    </row>
    <row r="2298" spans="1:2" ht="12" customHeight="1">
      <c r="A2298" s="605"/>
      <c r="B2298" s="568"/>
    </row>
    <row r="2299" spans="1:2" ht="12" customHeight="1">
      <c r="A2299" s="605"/>
      <c r="B2299" s="568"/>
    </row>
    <row r="2300" spans="1:2" ht="12" customHeight="1">
      <c r="A2300" s="605"/>
      <c r="B2300" s="568"/>
    </row>
    <row r="2301" spans="1:2" ht="12" customHeight="1">
      <c r="A2301" s="605"/>
      <c r="B2301" s="568"/>
    </row>
    <row r="2302" spans="1:2" ht="12" customHeight="1">
      <c r="A2302" s="605"/>
      <c r="B2302" s="568"/>
    </row>
    <row r="2303" spans="1:2" ht="12" customHeight="1">
      <c r="A2303" s="605"/>
      <c r="B2303" s="568"/>
    </row>
    <row r="2304" spans="1:2" ht="12" customHeight="1">
      <c r="A2304" s="605"/>
      <c r="B2304" s="568"/>
    </row>
    <row r="2305" spans="1:2" ht="12" customHeight="1">
      <c r="A2305" s="605"/>
      <c r="B2305" s="568"/>
    </row>
    <row r="2306" spans="1:2" ht="12" customHeight="1">
      <c r="A2306" s="605"/>
      <c r="B2306" s="568"/>
    </row>
    <row r="2307" spans="1:2" ht="12" customHeight="1">
      <c r="A2307" s="605"/>
      <c r="B2307" s="568"/>
    </row>
    <row r="2308" spans="1:2" ht="12" customHeight="1">
      <c r="A2308" s="605"/>
      <c r="B2308" s="568"/>
    </row>
    <row r="2309" spans="1:2" ht="12" customHeight="1">
      <c r="A2309" s="605"/>
      <c r="B2309" s="568"/>
    </row>
    <row r="2310" spans="1:2" ht="12" customHeight="1">
      <c r="A2310" s="605"/>
      <c r="B2310" s="568"/>
    </row>
    <row r="2311" spans="1:2" ht="12" customHeight="1">
      <c r="A2311" s="605"/>
      <c r="B2311" s="568"/>
    </row>
    <row r="2312" spans="1:2" ht="12" customHeight="1">
      <c r="A2312" s="605"/>
      <c r="B2312" s="568"/>
    </row>
    <row r="2313" spans="1:2" ht="12" customHeight="1">
      <c r="A2313" s="605"/>
      <c r="B2313" s="568"/>
    </row>
    <row r="2314" spans="1:2" ht="12" customHeight="1">
      <c r="A2314" s="605"/>
      <c r="B2314" s="568"/>
    </row>
    <row r="2315" spans="1:2" ht="12" customHeight="1">
      <c r="A2315" s="605"/>
      <c r="B2315" s="568"/>
    </row>
    <row r="2316" spans="1:2" ht="12" customHeight="1">
      <c r="A2316" s="605"/>
      <c r="B2316" s="568"/>
    </row>
    <row r="2317" spans="1:2" ht="12" customHeight="1">
      <c r="A2317" s="605"/>
      <c r="B2317" s="568"/>
    </row>
    <row r="2318" spans="1:2" ht="12" customHeight="1">
      <c r="A2318" s="605"/>
      <c r="B2318" s="568"/>
    </row>
    <row r="2319" spans="1:2" ht="12" customHeight="1">
      <c r="A2319" s="605"/>
      <c r="B2319" s="568"/>
    </row>
    <row r="2320" spans="1:2" ht="12" customHeight="1">
      <c r="A2320" s="605"/>
      <c r="B2320" s="568"/>
    </row>
    <row r="2321" spans="1:2" ht="12" customHeight="1">
      <c r="A2321" s="605"/>
      <c r="B2321" s="568"/>
    </row>
    <row r="2322" spans="1:2" ht="12" customHeight="1">
      <c r="A2322" s="605"/>
      <c r="B2322" s="568"/>
    </row>
    <row r="2323" spans="1:2" ht="12" customHeight="1">
      <c r="A2323" s="605"/>
      <c r="B2323" s="568"/>
    </row>
    <row r="2324" spans="1:2" ht="12" customHeight="1">
      <c r="A2324" s="605"/>
      <c r="B2324" s="568"/>
    </row>
    <row r="2325" spans="1:2" ht="12" customHeight="1">
      <c r="A2325" s="605"/>
      <c r="B2325" s="568"/>
    </row>
    <row r="2326" spans="1:2" ht="12" customHeight="1">
      <c r="A2326" s="605"/>
      <c r="B2326" s="568"/>
    </row>
    <row r="2327" spans="1:2" ht="12" customHeight="1">
      <c r="A2327" s="605"/>
      <c r="B2327" s="568"/>
    </row>
    <row r="2328" spans="1:2" ht="12" customHeight="1">
      <c r="A2328" s="605"/>
      <c r="B2328" s="568"/>
    </row>
    <row r="2329" spans="1:2" ht="12" customHeight="1">
      <c r="A2329" s="605"/>
      <c r="B2329" s="568"/>
    </row>
    <row r="2330" spans="1:2" ht="12" customHeight="1">
      <c r="A2330" s="605"/>
      <c r="B2330" s="568"/>
    </row>
    <row r="2331" spans="1:2" ht="12" customHeight="1">
      <c r="A2331" s="605"/>
      <c r="B2331" s="568"/>
    </row>
    <row r="2332" spans="1:2" ht="12" customHeight="1">
      <c r="A2332" s="605"/>
      <c r="B2332" s="568"/>
    </row>
    <row r="2333" spans="1:2" ht="12" customHeight="1">
      <c r="A2333" s="605"/>
      <c r="B2333" s="568"/>
    </row>
    <row r="2334" spans="1:2" ht="12" customHeight="1">
      <c r="A2334" s="605"/>
      <c r="B2334" s="568"/>
    </row>
    <row r="2335" spans="1:2" ht="12" customHeight="1">
      <c r="A2335" s="605"/>
      <c r="B2335" s="568"/>
    </row>
    <row r="2336" spans="1:2" ht="12" customHeight="1">
      <c r="A2336" s="605"/>
      <c r="B2336" s="568"/>
    </row>
    <row r="2337" spans="1:2" ht="12" customHeight="1">
      <c r="A2337" s="605"/>
      <c r="B2337" s="568"/>
    </row>
    <row r="2338" spans="1:2" ht="12" customHeight="1">
      <c r="A2338" s="605"/>
      <c r="B2338" s="568"/>
    </row>
    <row r="2339" spans="1:2" ht="12" customHeight="1">
      <c r="A2339" s="605"/>
      <c r="B2339" s="568"/>
    </row>
    <row r="2340" spans="1:2" ht="12" customHeight="1">
      <c r="A2340" s="605"/>
      <c r="B2340" s="568"/>
    </row>
    <row r="2341" spans="1:2" ht="12" customHeight="1">
      <c r="A2341" s="605"/>
      <c r="B2341" s="568"/>
    </row>
    <row r="2342" spans="1:2" ht="12" customHeight="1">
      <c r="A2342" s="605"/>
      <c r="B2342" s="568"/>
    </row>
    <row r="2343" spans="1:2" ht="12" customHeight="1">
      <c r="A2343" s="605"/>
      <c r="B2343" s="568"/>
    </row>
    <row r="2344" spans="1:2" ht="12" customHeight="1">
      <c r="A2344" s="605"/>
      <c r="B2344" s="568"/>
    </row>
    <row r="2345" spans="1:2" ht="12" customHeight="1">
      <c r="A2345" s="605"/>
      <c r="B2345" s="568"/>
    </row>
    <row r="2346" spans="1:2" ht="12" customHeight="1">
      <c r="A2346" s="605"/>
      <c r="B2346" s="568"/>
    </row>
    <row r="2347" spans="1:2" ht="12" customHeight="1">
      <c r="A2347" s="605"/>
      <c r="B2347" s="568"/>
    </row>
    <row r="2348" spans="1:2" ht="12" customHeight="1">
      <c r="A2348" s="605"/>
      <c r="B2348" s="568"/>
    </row>
    <row r="2349" spans="1:2" ht="12" customHeight="1">
      <c r="A2349" s="605"/>
      <c r="B2349" s="568"/>
    </row>
    <row r="2350" spans="1:2" ht="12" customHeight="1">
      <c r="A2350" s="605"/>
      <c r="B2350" s="568"/>
    </row>
    <row r="2351" spans="1:2" ht="12" customHeight="1">
      <c r="A2351" s="605"/>
      <c r="B2351" s="568"/>
    </row>
    <row r="2352" spans="1:2" ht="12" customHeight="1">
      <c r="A2352" s="605"/>
      <c r="B2352" s="568"/>
    </row>
    <row r="2353" spans="1:2" ht="12" customHeight="1">
      <c r="A2353" s="605"/>
      <c r="B2353" s="568"/>
    </row>
    <row r="2354" spans="1:2" ht="12" customHeight="1">
      <c r="A2354" s="605"/>
      <c r="B2354" s="568"/>
    </row>
    <row r="2355" spans="1:2" ht="12" customHeight="1">
      <c r="A2355" s="605"/>
      <c r="B2355" s="568"/>
    </row>
    <row r="2356" spans="1:2" ht="12" customHeight="1">
      <c r="A2356" s="605"/>
      <c r="B2356" s="568"/>
    </row>
    <row r="2357" spans="1:2" ht="12" customHeight="1">
      <c r="A2357" s="605"/>
      <c r="B2357" s="568"/>
    </row>
    <row r="2358" spans="1:2" ht="12" customHeight="1">
      <c r="A2358" s="605"/>
      <c r="B2358" s="568"/>
    </row>
    <row r="2359" spans="1:2" ht="12" customHeight="1">
      <c r="A2359" s="605"/>
      <c r="B2359" s="568"/>
    </row>
    <row r="2360" spans="1:2" ht="12" customHeight="1">
      <c r="A2360" s="605"/>
      <c r="B2360" s="568"/>
    </row>
    <row r="2361" spans="1:2" ht="12" customHeight="1">
      <c r="A2361" s="605"/>
      <c r="B2361" s="568"/>
    </row>
    <row r="2362" spans="1:2" ht="12" customHeight="1">
      <c r="A2362" s="605"/>
      <c r="B2362" s="568"/>
    </row>
    <row r="2363" spans="1:2" ht="12" customHeight="1">
      <c r="A2363" s="605"/>
      <c r="B2363" s="568"/>
    </row>
    <row r="2364" spans="1:2" ht="12" customHeight="1">
      <c r="A2364" s="605"/>
      <c r="B2364" s="568"/>
    </row>
    <row r="2365" spans="1:2" ht="12" customHeight="1">
      <c r="A2365" s="605"/>
      <c r="B2365" s="568"/>
    </row>
    <row r="2366" spans="1:2" ht="12" customHeight="1">
      <c r="A2366" s="605"/>
      <c r="B2366" s="568"/>
    </row>
    <row r="2367" spans="1:2" ht="12" customHeight="1">
      <c r="A2367" s="605"/>
      <c r="B2367" s="568"/>
    </row>
    <row r="2368" spans="1:2" ht="12" customHeight="1">
      <c r="A2368" s="605"/>
      <c r="B2368" s="568"/>
    </row>
    <row r="2369" spans="1:2" ht="12" customHeight="1">
      <c r="A2369" s="605"/>
      <c r="B2369" s="568"/>
    </row>
    <row r="2370" spans="1:2" ht="12" customHeight="1">
      <c r="A2370" s="605"/>
      <c r="B2370" s="568"/>
    </row>
    <row r="2371" spans="1:2" ht="12" customHeight="1">
      <c r="A2371" s="605"/>
      <c r="B2371" s="568"/>
    </row>
    <row r="2372" spans="1:2" ht="12" customHeight="1">
      <c r="A2372" s="605"/>
      <c r="B2372" s="568"/>
    </row>
    <row r="2373" spans="1:2" ht="12" customHeight="1">
      <c r="A2373" s="605"/>
      <c r="B2373" s="568"/>
    </row>
    <row r="2374" spans="1:2" ht="12" customHeight="1">
      <c r="A2374" s="605"/>
      <c r="B2374" s="568"/>
    </row>
    <row r="2375" spans="1:2" ht="12" customHeight="1">
      <c r="A2375" s="605"/>
      <c r="B2375" s="568"/>
    </row>
    <row r="2376" spans="1:2" ht="12" customHeight="1">
      <c r="A2376" s="605"/>
      <c r="B2376" s="568"/>
    </row>
    <row r="2377" spans="1:2" ht="12" customHeight="1">
      <c r="A2377" s="605"/>
      <c r="B2377" s="568"/>
    </row>
    <row r="2378" spans="1:2" ht="12" customHeight="1">
      <c r="A2378" s="605"/>
      <c r="B2378" s="568"/>
    </row>
    <row r="2379" spans="1:2" ht="12" customHeight="1">
      <c r="A2379" s="605"/>
      <c r="B2379" s="568"/>
    </row>
    <row r="2380" spans="1:2" ht="12" customHeight="1">
      <c r="A2380" s="605"/>
      <c r="B2380" s="568"/>
    </row>
    <row r="2381" spans="1:2" ht="12" customHeight="1">
      <c r="A2381" s="605"/>
      <c r="B2381" s="568"/>
    </row>
    <row r="2382" spans="1:2" ht="12" customHeight="1">
      <c r="A2382" s="605"/>
      <c r="B2382" s="568"/>
    </row>
    <row r="2383" spans="1:2" ht="12" customHeight="1">
      <c r="A2383" s="605"/>
      <c r="B2383" s="568"/>
    </row>
    <row r="2384" spans="1:2" ht="12" customHeight="1">
      <c r="A2384" s="605"/>
      <c r="B2384" s="568"/>
    </row>
    <row r="2385" spans="1:2" ht="12" customHeight="1">
      <c r="A2385" s="605"/>
      <c r="B2385" s="568"/>
    </row>
    <row r="2386" spans="1:2" ht="12" customHeight="1">
      <c r="A2386" s="605"/>
      <c r="B2386" s="568"/>
    </row>
    <row r="2387" spans="1:2" ht="12" customHeight="1">
      <c r="A2387" s="605"/>
      <c r="B2387" s="568"/>
    </row>
    <row r="2388" spans="1:2" ht="12" customHeight="1">
      <c r="A2388" s="605"/>
      <c r="B2388" s="568"/>
    </row>
    <row r="2389" spans="1:2" ht="12" customHeight="1">
      <c r="A2389" s="605"/>
      <c r="B2389" s="568"/>
    </row>
    <row r="2390" spans="1:2" ht="12" customHeight="1">
      <c r="A2390" s="605"/>
      <c r="B2390" s="568"/>
    </row>
    <row r="2391" spans="1:2" ht="12" customHeight="1">
      <c r="A2391" s="605"/>
      <c r="B2391" s="568"/>
    </row>
    <row r="2392" spans="1:2" ht="12" customHeight="1">
      <c r="A2392" s="605"/>
      <c r="B2392" s="568"/>
    </row>
    <row r="2393" spans="1:2" ht="12" customHeight="1">
      <c r="A2393" s="605"/>
      <c r="B2393" s="568"/>
    </row>
    <row r="2394" spans="1:2" ht="12" customHeight="1">
      <c r="A2394" s="605"/>
      <c r="B2394" s="568"/>
    </row>
    <row r="2395" spans="1:2" ht="12" customHeight="1">
      <c r="A2395" s="605"/>
      <c r="B2395" s="568"/>
    </row>
    <row r="2396" spans="1:2" ht="12" customHeight="1">
      <c r="A2396" s="605"/>
      <c r="B2396" s="568"/>
    </row>
    <row r="2397" spans="1:2" ht="12" customHeight="1">
      <c r="A2397" s="605"/>
      <c r="B2397" s="568"/>
    </row>
    <row r="2398" spans="1:2" ht="12" customHeight="1">
      <c r="A2398" s="605"/>
      <c r="B2398" s="568"/>
    </row>
    <row r="2399" spans="1:2" ht="12" customHeight="1">
      <c r="A2399" s="605"/>
      <c r="B2399" s="568"/>
    </row>
    <row r="2400" spans="1:2" ht="12" customHeight="1">
      <c r="A2400" s="605"/>
      <c r="B2400" s="568"/>
    </row>
    <row r="2401" spans="1:2" ht="12" customHeight="1">
      <c r="A2401" s="605"/>
      <c r="B2401" s="568"/>
    </row>
    <row r="2402" spans="1:2" ht="12" customHeight="1">
      <c r="A2402" s="605"/>
      <c r="B2402" s="568"/>
    </row>
    <row r="2403" spans="1:2" ht="12" customHeight="1">
      <c r="A2403" s="605"/>
      <c r="B2403" s="568"/>
    </row>
    <row r="2404" spans="1:2" ht="12" customHeight="1">
      <c r="A2404" s="605"/>
      <c r="B2404" s="568"/>
    </row>
    <row r="2405" spans="1:2" ht="12" customHeight="1">
      <c r="A2405" s="605"/>
      <c r="B2405" s="568"/>
    </row>
    <row r="2406" spans="1:2" ht="12" customHeight="1">
      <c r="A2406" s="605"/>
      <c r="B2406" s="568"/>
    </row>
    <row r="2407" spans="1:2" ht="12" customHeight="1">
      <c r="A2407" s="605"/>
      <c r="B2407" s="568"/>
    </row>
    <row r="2408" spans="1:2" ht="12" customHeight="1">
      <c r="A2408" s="605"/>
      <c r="B2408" s="568"/>
    </row>
    <row r="2409" spans="1:2" ht="12" customHeight="1">
      <c r="A2409" s="605"/>
      <c r="B2409" s="568"/>
    </row>
    <row r="2410" spans="1:2" ht="12" customHeight="1">
      <c r="A2410" s="605"/>
      <c r="B2410" s="568"/>
    </row>
    <row r="2411" spans="1:2" ht="12" customHeight="1">
      <c r="A2411" s="605"/>
      <c r="B2411" s="568"/>
    </row>
    <row r="2412" spans="1:2" ht="12" customHeight="1">
      <c r="A2412" s="605"/>
      <c r="B2412" s="568"/>
    </row>
    <row r="2413" spans="1:2" ht="12" customHeight="1">
      <c r="A2413" s="605"/>
      <c r="B2413" s="568"/>
    </row>
    <row r="2414" spans="1:2" ht="12" customHeight="1">
      <c r="A2414" s="605"/>
      <c r="B2414" s="568"/>
    </row>
    <row r="2415" spans="1:2" ht="12" customHeight="1">
      <c r="A2415" s="605"/>
      <c r="B2415" s="568"/>
    </row>
    <row r="2416" spans="1:2" ht="12" customHeight="1">
      <c r="A2416" s="605"/>
      <c r="B2416" s="568"/>
    </row>
    <row r="2417" spans="1:2" ht="12" customHeight="1">
      <c r="A2417" s="605"/>
      <c r="B2417" s="568"/>
    </row>
    <row r="2418" spans="1:2" ht="12" customHeight="1">
      <c r="A2418" s="605"/>
      <c r="B2418" s="568"/>
    </row>
    <row r="2419" spans="1:2" ht="12" customHeight="1">
      <c r="A2419" s="605"/>
      <c r="B2419" s="568"/>
    </row>
    <row r="2420" spans="1:2" ht="12" customHeight="1">
      <c r="A2420" s="605"/>
      <c r="B2420" s="568"/>
    </row>
    <row r="2421" spans="1:2" ht="12" customHeight="1">
      <c r="A2421" s="605"/>
      <c r="B2421" s="568"/>
    </row>
    <row r="2422" spans="1:2" ht="12" customHeight="1">
      <c r="A2422" s="605"/>
      <c r="B2422" s="568"/>
    </row>
    <row r="2423" spans="1:2" ht="12" customHeight="1">
      <c r="A2423" s="605"/>
      <c r="B2423" s="568"/>
    </row>
    <row r="2424" spans="1:2" ht="12" customHeight="1">
      <c r="A2424" s="605"/>
      <c r="B2424" s="568"/>
    </row>
    <row r="2425" spans="1:2" ht="12" customHeight="1">
      <c r="A2425" s="605"/>
      <c r="B2425" s="568"/>
    </row>
    <row r="2426" spans="1:2" ht="12" customHeight="1">
      <c r="A2426" s="605"/>
      <c r="B2426" s="568"/>
    </row>
    <row r="2427" spans="1:2" ht="12" customHeight="1">
      <c r="A2427" s="605"/>
      <c r="B2427" s="568"/>
    </row>
    <row r="2428" spans="1:2" ht="12" customHeight="1">
      <c r="A2428" s="605"/>
      <c r="B2428" s="568"/>
    </row>
    <row r="2429" spans="1:2" ht="12" customHeight="1">
      <c r="A2429" s="605"/>
      <c r="B2429" s="568"/>
    </row>
    <row r="2430" spans="1:2" ht="12" customHeight="1">
      <c r="A2430" s="605"/>
      <c r="B2430" s="568"/>
    </row>
    <row r="2431" spans="1:2" ht="12" customHeight="1">
      <c r="A2431" s="605"/>
      <c r="B2431" s="568"/>
    </row>
    <row r="2432" spans="1:2" ht="12" customHeight="1">
      <c r="A2432" s="605"/>
      <c r="B2432" s="568"/>
    </row>
    <row r="2433" spans="1:2" ht="12" customHeight="1">
      <c r="A2433" s="605"/>
      <c r="B2433" s="568"/>
    </row>
    <row r="2434" spans="1:2" ht="12" customHeight="1">
      <c r="A2434" s="605"/>
      <c r="B2434" s="568"/>
    </row>
    <row r="2435" spans="1:2" ht="12" customHeight="1">
      <c r="A2435" s="605"/>
      <c r="B2435" s="568"/>
    </row>
    <row r="2436" spans="1:2" ht="12" customHeight="1">
      <c r="A2436" s="605"/>
      <c r="B2436" s="568"/>
    </row>
    <row r="2437" spans="1:2" ht="12" customHeight="1">
      <c r="A2437" s="605"/>
      <c r="B2437" s="568"/>
    </row>
    <row r="2438" spans="1:2" ht="12" customHeight="1">
      <c r="A2438" s="605"/>
      <c r="B2438" s="568"/>
    </row>
    <row r="2439" spans="1:2" ht="12" customHeight="1">
      <c r="A2439" s="605"/>
      <c r="B2439" s="568"/>
    </row>
    <row r="2440" spans="1:2" ht="12" customHeight="1">
      <c r="A2440" s="605"/>
      <c r="B2440" s="568"/>
    </row>
    <row r="2441" spans="1:2" ht="12" customHeight="1">
      <c r="A2441" s="605"/>
      <c r="B2441" s="568"/>
    </row>
    <row r="2442" spans="1:2" ht="12" customHeight="1">
      <c r="A2442" s="605"/>
      <c r="B2442" s="568"/>
    </row>
    <row r="2443" spans="1:2" ht="12" customHeight="1">
      <c r="A2443" s="605"/>
      <c r="B2443" s="568"/>
    </row>
    <row r="2444" spans="1:2" ht="12" customHeight="1">
      <c r="A2444" s="605"/>
      <c r="B2444" s="568"/>
    </row>
    <row r="2445" spans="1:2" ht="12" customHeight="1">
      <c r="A2445" s="605"/>
      <c r="B2445" s="568"/>
    </row>
    <row r="2446" spans="1:2" ht="12" customHeight="1">
      <c r="A2446" s="605"/>
      <c r="B2446" s="568"/>
    </row>
    <row r="2447" spans="1:2" ht="12" customHeight="1">
      <c r="A2447" s="605"/>
      <c r="B2447" s="568"/>
    </row>
    <row r="2448" spans="1:2" ht="12" customHeight="1">
      <c r="A2448" s="605"/>
      <c r="B2448" s="568"/>
    </row>
    <row r="2449" spans="1:2" ht="12" customHeight="1">
      <c r="A2449" s="605"/>
      <c r="B2449" s="568"/>
    </row>
    <row r="2450" spans="1:2" ht="12" customHeight="1">
      <c r="A2450" s="605"/>
      <c r="B2450" s="568"/>
    </row>
    <row r="2451" spans="1:2" ht="12" customHeight="1">
      <c r="A2451" s="605"/>
      <c r="B2451" s="568"/>
    </row>
    <row r="2452" spans="1:2" ht="12" customHeight="1">
      <c r="A2452" s="605"/>
      <c r="B2452" s="568"/>
    </row>
    <row r="2453" spans="1:2" ht="12" customHeight="1">
      <c r="A2453" s="605"/>
      <c r="B2453" s="568"/>
    </row>
    <row r="2454" spans="1:2" ht="12" customHeight="1">
      <c r="A2454" s="605"/>
      <c r="B2454" s="568"/>
    </row>
    <row r="2455" spans="1:2" ht="12" customHeight="1">
      <c r="A2455" s="605"/>
      <c r="B2455" s="568"/>
    </row>
    <row r="2456" spans="1:2" ht="12" customHeight="1">
      <c r="A2456" s="605"/>
      <c r="B2456" s="568"/>
    </row>
    <row r="2457" spans="1:2" ht="12" customHeight="1">
      <c r="A2457" s="605"/>
      <c r="B2457" s="568"/>
    </row>
    <row r="2458" spans="1:2" ht="12" customHeight="1">
      <c r="A2458" s="605"/>
      <c r="B2458" s="568"/>
    </row>
    <row r="2459" spans="1:2" ht="12" customHeight="1">
      <c r="A2459" s="605"/>
      <c r="B2459" s="568"/>
    </row>
    <row r="2460" spans="1:2" ht="12" customHeight="1">
      <c r="A2460" s="605"/>
      <c r="B2460" s="568"/>
    </row>
    <row r="2461" spans="1:2" ht="12" customHeight="1">
      <c r="A2461" s="605"/>
      <c r="B2461" s="568"/>
    </row>
    <row r="2462" spans="1:2" ht="12" customHeight="1">
      <c r="A2462" s="605"/>
      <c r="B2462" s="568"/>
    </row>
    <row r="2463" spans="1:2" ht="12" customHeight="1">
      <c r="A2463" s="605"/>
      <c r="B2463" s="568"/>
    </row>
    <row r="2464" spans="1:2" ht="12" customHeight="1">
      <c r="A2464" s="605"/>
      <c r="B2464" s="568"/>
    </row>
    <row r="2465" spans="1:2" ht="12" customHeight="1">
      <c r="A2465" s="605"/>
      <c r="B2465" s="568"/>
    </row>
    <row r="2466" spans="1:2" ht="12" customHeight="1">
      <c r="A2466" s="605"/>
      <c r="B2466" s="568"/>
    </row>
    <row r="2467" spans="1:2" ht="12" customHeight="1">
      <c r="A2467" s="605"/>
      <c r="B2467" s="568"/>
    </row>
    <row r="2468" spans="1:2" ht="12" customHeight="1">
      <c r="A2468" s="605"/>
      <c r="B2468" s="568"/>
    </row>
    <row r="2469" spans="1:2" ht="12" customHeight="1">
      <c r="A2469" s="605"/>
      <c r="B2469" s="568"/>
    </row>
    <row r="2470" spans="1:2" ht="12" customHeight="1">
      <c r="A2470" s="605"/>
      <c r="B2470" s="568"/>
    </row>
    <row r="2471" spans="1:2" ht="12" customHeight="1">
      <c r="A2471" s="605"/>
      <c r="B2471" s="568"/>
    </row>
    <row r="2472" spans="1:2" ht="12" customHeight="1">
      <c r="A2472" s="605"/>
      <c r="B2472" s="568"/>
    </row>
    <row r="2473" spans="1:2" ht="12" customHeight="1">
      <c r="A2473" s="605"/>
      <c r="B2473" s="568"/>
    </row>
    <row r="2474" spans="1:2" ht="12" customHeight="1">
      <c r="A2474" s="605"/>
      <c r="B2474" s="568"/>
    </row>
    <row r="2475" spans="1:2" ht="12" customHeight="1">
      <c r="A2475" s="605"/>
      <c r="B2475" s="568"/>
    </row>
    <row r="2476" spans="1:2" ht="12" customHeight="1">
      <c r="A2476" s="605"/>
      <c r="B2476" s="568"/>
    </row>
    <row r="2477" spans="1:2" ht="12" customHeight="1">
      <c r="A2477" s="605"/>
      <c r="B2477" s="568"/>
    </row>
    <row r="2478" spans="1:2" ht="12" customHeight="1">
      <c r="A2478" s="605"/>
      <c r="B2478" s="568"/>
    </row>
    <row r="2479" spans="1:2" ht="12" customHeight="1">
      <c r="A2479" s="605"/>
      <c r="B2479" s="568"/>
    </row>
    <row r="2480" spans="1:2" ht="12" customHeight="1">
      <c r="A2480" s="605"/>
      <c r="B2480" s="568"/>
    </row>
    <row r="2481" spans="1:2" ht="12" customHeight="1">
      <c r="A2481" s="605"/>
      <c r="B2481" s="568"/>
    </row>
    <row r="2482" spans="1:2" ht="12" customHeight="1">
      <c r="A2482" s="605"/>
      <c r="B2482" s="568"/>
    </row>
    <row r="2483" spans="1:2" ht="12" customHeight="1">
      <c r="A2483" s="605"/>
      <c r="B2483" s="568"/>
    </row>
    <row r="2484" spans="1:2" ht="12" customHeight="1">
      <c r="A2484" s="605"/>
      <c r="B2484" s="568"/>
    </row>
    <row r="2485" spans="1:2" ht="12" customHeight="1">
      <c r="A2485" s="605"/>
      <c r="B2485" s="568"/>
    </row>
    <row r="2486" spans="1:2" ht="12" customHeight="1">
      <c r="A2486" s="605"/>
      <c r="B2486" s="568"/>
    </row>
    <row r="2487" spans="1:2" ht="12" customHeight="1">
      <c r="A2487" s="605"/>
      <c r="B2487" s="568"/>
    </row>
    <row r="2488" spans="1:2" ht="12" customHeight="1">
      <c r="A2488" s="605"/>
      <c r="B2488" s="568"/>
    </row>
    <row r="2489" spans="1:2" ht="12" customHeight="1">
      <c r="A2489" s="605"/>
      <c r="B2489" s="568"/>
    </row>
    <row r="2490" spans="1:2" ht="12" customHeight="1">
      <c r="A2490" s="605"/>
      <c r="B2490" s="568"/>
    </row>
    <row r="2491" spans="1:2" ht="12" customHeight="1">
      <c r="A2491" s="605"/>
      <c r="B2491" s="568"/>
    </row>
    <row r="2492" spans="1:2" ht="12" customHeight="1">
      <c r="A2492" s="605"/>
      <c r="B2492" s="568"/>
    </row>
    <row r="2493" spans="1:2" ht="12" customHeight="1">
      <c r="A2493" s="605"/>
      <c r="B2493" s="568"/>
    </row>
    <row r="2494" spans="1:2" ht="12" customHeight="1">
      <c r="A2494" s="605"/>
      <c r="B2494" s="568"/>
    </row>
    <row r="2495" spans="1:2" ht="12" customHeight="1">
      <c r="A2495" s="605"/>
      <c r="B2495" s="568"/>
    </row>
    <row r="2496" spans="1:2" ht="12" customHeight="1">
      <c r="A2496" s="605"/>
      <c r="B2496" s="568"/>
    </row>
    <row r="2497" spans="1:2" ht="12" customHeight="1">
      <c r="A2497" s="605"/>
      <c r="B2497" s="568"/>
    </row>
    <row r="2498" spans="1:2" ht="12" customHeight="1">
      <c r="A2498" s="605"/>
      <c r="B2498" s="568"/>
    </row>
    <row r="2499" spans="1:2" ht="12" customHeight="1">
      <c r="A2499" s="605"/>
      <c r="B2499" s="568"/>
    </row>
    <row r="2500" spans="1:2" ht="12" customHeight="1">
      <c r="A2500" s="605"/>
      <c r="B2500" s="568"/>
    </row>
    <row r="2501" spans="1:2" ht="12" customHeight="1">
      <c r="A2501" s="605"/>
      <c r="B2501" s="568"/>
    </row>
    <row r="2502" spans="1:2" ht="12" customHeight="1">
      <c r="A2502" s="605"/>
      <c r="B2502" s="568"/>
    </row>
    <row r="2503" spans="1:2" ht="12" customHeight="1">
      <c r="A2503" s="605"/>
      <c r="B2503" s="568"/>
    </row>
    <row r="2504" spans="1:2" ht="12" customHeight="1">
      <c r="A2504" s="605"/>
      <c r="B2504" s="568"/>
    </row>
    <row r="2505" spans="1:2" ht="12" customHeight="1">
      <c r="A2505" s="605"/>
      <c r="B2505" s="568"/>
    </row>
    <row r="2506" spans="1:2" ht="12" customHeight="1">
      <c r="A2506" s="605"/>
      <c r="B2506" s="568"/>
    </row>
    <row r="2507" spans="1:2" ht="12" customHeight="1">
      <c r="A2507" s="605"/>
      <c r="B2507" s="568"/>
    </row>
    <row r="2508" spans="1:2" ht="12" customHeight="1">
      <c r="A2508" s="605"/>
      <c r="B2508" s="568"/>
    </row>
    <row r="2509" spans="1:2" ht="12" customHeight="1">
      <c r="A2509" s="605"/>
      <c r="B2509" s="568"/>
    </row>
    <row r="2510" spans="1:2" ht="12" customHeight="1">
      <c r="A2510" s="605"/>
      <c r="B2510" s="568"/>
    </row>
    <row r="2511" spans="1:2" ht="12" customHeight="1">
      <c r="A2511" s="605"/>
      <c r="B2511" s="568"/>
    </row>
    <row r="2512" spans="1:2" ht="12" customHeight="1">
      <c r="A2512" s="605"/>
      <c r="B2512" s="568"/>
    </row>
    <row r="2513" spans="1:2" ht="12" customHeight="1">
      <c r="A2513" s="605"/>
      <c r="B2513" s="568"/>
    </row>
    <row r="2514" spans="1:2" ht="12" customHeight="1">
      <c r="A2514" s="605"/>
      <c r="B2514" s="568"/>
    </row>
    <row r="2515" spans="1:2" ht="12" customHeight="1">
      <c r="A2515" s="605"/>
      <c r="B2515" s="568"/>
    </row>
    <row r="2516" spans="1:2" ht="12" customHeight="1">
      <c r="A2516" s="605"/>
      <c r="B2516" s="568"/>
    </row>
    <row r="2517" spans="1:2" ht="12" customHeight="1">
      <c r="A2517" s="605"/>
      <c r="B2517" s="568"/>
    </row>
    <row r="2518" spans="1:2" ht="12" customHeight="1">
      <c r="A2518" s="605"/>
      <c r="B2518" s="568"/>
    </row>
    <row r="2519" spans="1:2" ht="12" customHeight="1">
      <c r="A2519" s="605"/>
      <c r="B2519" s="568"/>
    </row>
    <row r="2520" spans="1:2" ht="12" customHeight="1">
      <c r="A2520" s="605"/>
      <c r="B2520" s="568"/>
    </row>
    <row r="2521" spans="1:2" ht="12" customHeight="1">
      <c r="A2521" s="605"/>
      <c r="B2521" s="568"/>
    </row>
    <row r="2522" spans="1:2" ht="12" customHeight="1">
      <c r="A2522" s="605"/>
      <c r="B2522" s="568"/>
    </row>
    <row r="2523" spans="1:2" ht="12" customHeight="1">
      <c r="A2523" s="605"/>
      <c r="B2523" s="568"/>
    </row>
    <row r="2524" spans="1:2" ht="12" customHeight="1">
      <c r="A2524" s="605"/>
      <c r="B2524" s="568"/>
    </row>
    <row r="2525" spans="1:2" ht="12" customHeight="1">
      <c r="A2525" s="605"/>
      <c r="B2525" s="568"/>
    </row>
    <row r="2526" spans="1:2" ht="12" customHeight="1">
      <c r="A2526" s="605"/>
      <c r="B2526" s="568"/>
    </row>
    <row r="2527" spans="1:2" ht="12" customHeight="1">
      <c r="A2527" s="605"/>
      <c r="B2527" s="568"/>
    </row>
    <row r="2528" spans="1:2" ht="12" customHeight="1">
      <c r="A2528" s="605"/>
      <c r="B2528" s="568"/>
    </row>
    <row r="2529" spans="1:2" ht="12" customHeight="1">
      <c r="A2529" s="605"/>
      <c r="B2529" s="568"/>
    </row>
    <row r="2530" spans="1:2" ht="12" customHeight="1">
      <c r="A2530" s="605"/>
      <c r="B2530" s="568"/>
    </row>
    <row r="2531" spans="1:2" ht="12" customHeight="1">
      <c r="A2531" s="605"/>
      <c r="B2531" s="568"/>
    </row>
    <row r="2532" spans="1:2" ht="12" customHeight="1">
      <c r="A2532" s="605"/>
      <c r="B2532" s="568"/>
    </row>
    <row r="2533" spans="1:2" ht="12" customHeight="1">
      <c r="A2533" s="605"/>
      <c r="B2533" s="568"/>
    </row>
    <row r="2534" spans="1:2" ht="12" customHeight="1">
      <c r="A2534" s="605"/>
      <c r="B2534" s="568"/>
    </row>
    <row r="2535" spans="1:2" ht="12" customHeight="1">
      <c r="A2535" s="605"/>
      <c r="B2535" s="568"/>
    </row>
    <row r="2536" spans="1:2" ht="12" customHeight="1">
      <c r="A2536" s="605"/>
      <c r="B2536" s="568"/>
    </row>
    <row r="2537" spans="1:2" ht="12" customHeight="1">
      <c r="A2537" s="605"/>
      <c r="B2537" s="568"/>
    </row>
    <row r="2538" spans="1:2" ht="12" customHeight="1">
      <c r="A2538" s="605"/>
      <c r="B2538" s="568"/>
    </row>
    <row r="2539" spans="1:2" ht="12" customHeight="1">
      <c r="A2539" s="605"/>
      <c r="B2539" s="568"/>
    </row>
    <row r="2540" spans="1:2" ht="12" customHeight="1">
      <c r="A2540" s="605"/>
      <c r="B2540" s="568"/>
    </row>
    <row r="2541" spans="1:2" ht="12" customHeight="1">
      <c r="A2541" s="605"/>
      <c r="B2541" s="568"/>
    </row>
    <row r="2542" spans="1:2" ht="12" customHeight="1">
      <c r="A2542" s="605"/>
      <c r="B2542" s="568"/>
    </row>
    <row r="2543" spans="1:2" ht="12" customHeight="1">
      <c r="A2543" s="605"/>
      <c r="B2543" s="568"/>
    </row>
    <row r="2544" spans="1:2" ht="12" customHeight="1">
      <c r="A2544" s="605"/>
      <c r="B2544" s="568"/>
    </row>
    <row r="2545" spans="1:2" ht="12" customHeight="1">
      <c r="A2545" s="605"/>
      <c r="B2545" s="568"/>
    </row>
    <row r="2546" spans="1:2" ht="12" customHeight="1">
      <c r="A2546" s="605"/>
      <c r="B2546" s="568"/>
    </row>
    <row r="2547" spans="1:2" ht="12" customHeight="1">
      <c r="A2547" s="605"/>
      <c r="B2547" s="568"/>
    </row>
    <row r="2548" spans="1:2" ht="12" customHeight="1">
      <c r="A2548" s="605"/>
      <c r="B2548" s="568"/>
    </row>
    <row r="2549" spans="1:2" ht="12" customHeight="1">
      <c r="A2549" s="605"/>
      <c r="B2549" s="568"/>
    </row>
    <row r="2550" spans="1:2" ht="12" customHeight="1">
      <c r="A2550" s="605"/>
      <c r="B2550" s="568"/>
    </row>
    <row r="2551" spans="1:2" ht="12" customHeight="1">
      <c r="A2551" s="605"/>
      <c r="B2551" s="568"/>
    </row>
    <row r="2552" spans="1:2" ht="12" customHeight="1">
      <c r="A2552" s="605"/>
      <c r="B2552" s="568"/>
    </row>
    <row r="2553" spans="1:2" ht="12" customHeight="1">
      <c r="A2553" s="605"/>
      <c r="B2553" s="568"/>
    </row>
    <row r="2554" spans="1:2" ht="12" customHeight="1">
      <c r="A2554" s="605"/>
      <c r="B2554" s="568"/>
    </row>
    <row r="2555" spans="1:2" ht="12" customHeight="1">
      <c r="A2555" s="605"/>
      <c r="B2555" s="568"/>
    </row>
    <row r="2556" spans="1:2" ht="12" customHeight="1">
      <c r="A2556" s="605"/>
      <c r="B2556" s="568"/>
    </row>
    <row r="2557" spans="1:2" ht="12" customHeight="1">
      <c r="A2557" s="605"/>
      <c r="B2557" s="568"/>
    </row>
    <row r="2558" spans="1:2" ht="12" customHeight="1">
      <c r="A2558" s="605"/>
      <c r="B2558" s="568"/>
    </row>
    <row r="2559" spans="1:2" ht="12" customHeight="1">
      <c r="A2559" s="605"/>
      <c r="B2559" s="568"/>
    </row>
    <row r="2560" spans="1:2" ht="12" customHeight="1">
      <c r="A2560" s="605"/>
      <c r="B2560" s="568"/>
    </row>
    <row r="2561" spans="1:2" ht="12" customHeight="1">
      <c r="A2561" s="605"/>
      <c r="B2561" s="568"/>
    </row>
    <row r="2562" spans="1:2" ht="12" customHeight="1">
      <c r="A2562" s="605"/>
      <c r="B2562" s="568"/>
    </row>
    <row r="2563" spans="1:2" ht="12" customHeight="1">
      <c r="A2563" s="605"/>
      <c r="B2563" s="568"/>
    </row>
    <row r="2564" spans="1:2" ht="12" customHeight="1">
      <c r="A2564" s="605"/>
      <c r="B2564" s="568"/>
    </row>
    <row r="2565" spans="1:2" ht="12" customHeight="1">
      <c r="A2565" s="605"/>
      <c r="B2565" s="568"/>
    </row>
    <row r="2566" spans="1:2" ht="12" customHeight="1">
      <c r="A2566" s="605"/>
      <c r="B2566" s="568"/>
    </row>
    <row r="2567" spans="1:2" ht="12" customHeight="1">
      <c r="A2567" s="605"/>
      <c r="B2567" s="568"/>
    </row>
    <row r="2568" spans="1:2" ht="12" customHeight="1">
      <c r="A2568" s="605"/>
      <c r="B2568" s="568"/>
    </row>
    <row r="2569" spans="1:2" ht="12" customHeight="1">
      <c r="A2569" s="605"/>
      <c r="B2569" s="568"/>
    </row>
    <row r="2570" spans="1:2" ht="12" customHeight="1">
      <c r="A2570" s="605"/>
      <c r="B2570" s="568"/>
    </row>
    <row r="2571" spans="1:2" ht="12" customHeight="1">
      <c r="A2571" s="605"/>
      <c r="B2571" s="568"/>
    </row>
    <row r="2572" spans="1:2" ht="12" customHeight="1">
      <c r="A2572" s="605"/>
      <c r="B2572" s="568"/>
    </row>
    <row r="2573" spans="1:2" ht="12" customHeight="1">
      <c r="A2573" s="605"/>
      <c r="B2573" s="568"/>
    </row>
    <row r="2574" spans="1:2" ht="12" customHeight="1">
      <c r="A2574" s="605"/>
      <c r="B2574" s="568"/>
    </row>
    <row r="2575" spans="1:2" ht="12" customHeight="1">
      <c r="A2575" s="605"/>
      <c r="B2575" s="568"/>
    </row>
    <row r="2576" spans="1:2" ht="12" customHeight="1">
      <c r="A2576" s="605"/>
      <c r="B2576" s="568"/>
    </row>
    <row r="2577" spans="1:2" ht="12" customHeight="1">
      <c r="A2577" s="605"/>
      <c r="B2577" s="568"/>
    </row>
    <row r="2578" spans="1:2" ht="12" customHeight="1">
      <c r="A2578" s="605"/>
      <c r="B2578" s="568"/>
    </row>
    <row r="2579" spans="1:2" ht="12" customHeight="1">
      <c r="A2579" s="605"/>
      <c r="B2579" s="568"/>
    </row>
    <row r="2580" spans="1:2" ht="12" customHeight="1">
      <c r="A2580" s="605"/>
      <c r="B2580" s="568"/>
    </row>
    <row r="2581" spans="1:2" ht="12" customHeight="1">
      <c r="A2581" s="605"/>
      <c r="B2581" s="568"/>
    </row>
    <row r="2582" spans="1:2" ht="12" customHeight="1">
      <c r="A2582" s="605"/>
      <c r="B2582" s="568"/>
    </row>
    <row r="2583" spans="1:2" ht="12" customHeight="1">
      <c r="A2583" s="605"/>
      <c r="B2583" s="568"/>
    </row>
    <row r="2584" spans="1:2" ht="12" customHeight="1">
      <c r="A2584" s="605"/>
      <c r="B2584" s="568"/>
    </row>
    <row r="2585" spans="1:2" ht="12" customHeight="1">
      <c r="A2585" s="605"/>
      <c r="B2585" s="568"/>
    </row>
    <row r="2586" spans="1:2" ht="12" customHeight="1">
      <c r="A2586" s="605"/>
      <c r="B2586" s="568"/>
    </row>
    <row r="2587" spans="1:2" ht="12" customHeight="1">
      <c r="A2587" s="605"/>
      <c r="B2587" s="568"/>
    </row>
    <row r="2588" spans="1:2" ht="12" customHeight="1">
      <c r="A2588" s="605"/>
      <c r="B2588" s="568"/>
    </row>
    <row r="2589" spans="1:2" ht="12" customHeight="1">
      <c r="A2589" s="605"/>
      <c r="B2589" s="568"/>
    </row>
    <row r="2590" spans="1:2" ht="12" customHeight="1">
      <c r="A2590" s="605"/>
      <c r="B2590" s="568"/>
    </row>
    <row r="2591" spans="1:2" ht="12" customHeight="1">
      <c r="A2591" s="605"/>
      <c r="B2591" s="568"/>
    </row>
    <row r="2592" spans="1:2" ht="12" customHeight="1">
      <c r="A2592" s="605"/>
      <c r="B2592" s="568"/>
    </row>
    <row r="2593" spans="1:2" ht="12" customHeight="1">
      <c r="A2593" s="605"/>
      <c r="B2593" s="568"/>
    </row>
    <row r="2594" spans="1:2" ht="12" customHeight="1">
      <c r="A2594" s="605"/>
      <c r="B2594" s="568"/>
    </row>
    <row r="2595" spans="1:2" ht="12" customHeight="1">
      <c r="A2595" s="605"/>
      <c r="B2595" s="568"/>
    </row>
    <row r="2596" spans="1:2" ht="12" customHeight="1">
      <c r="A2596" s="605"/>
      <c r="B2596" s="568"/>
    </row>
    <row r="2597" spans="1:2" ht="12" customHeight="1">
      <c r="A2597" s="605"/>
      <c r="B2597" s="568"/>
    </row>
    <row r="2598" spans="1:2" ht="12" customHeight="1">
      <c r="A2598" s="605"/>
      <c r="B2598" s="568"/>
    </row>
    <row r="2599" spans="1:2" ht="12" customHeight="1">
      <c r="A2599" s="605"/>
      <c r="B2599" s="568"/>
    </row>
    <row r="2600" spans="1:2" ht="12" customHeight="1">
      <c r="A2600" s="605"/>
      <c r="B2600" s="568"/>
    </row>
    <row r="2601" spans="1:2" ht="12" customHeight="1">
      <c r="A2601" s="605"/>
      <c r="B2601" s="568"/>
    </row>
    <row r="2602" spans="1:2" ht="12" customHeight="1">
      <c r="A2602" s="605"/>
      <c r="B2602" s="568"/>
    </row>
    <row r="2603" spans="1:2" ht="12" customHeight="1">
      <c r="A2603" s="605"/>
      <c r="B2603" s="568"/>
    </row>
    <row r="2604" spans="1:2" ht="12" customHeight="1">
      <c r="A2604" s="605"/>
      <c r="B2604" s="568"/>
    </row>
    <row r="2605" spans="1:2" ht="12" customHeight="1">
      <c r="A2605" s="605"/>
      <c r="B2605" s="568"/>
    </row>
    <row r="2606" spans="1:2" ht="12" customHeight="1">
      <c r="A2606" s="605"/>
      <c r="B2606" s="568"/>
    </row>
    <row r="2607" spans="1:2" ht="12" customHeight="1">
      <c r="A2607" s="605"/>
      <c r="B2607" s="568"/>
    </row>
    <row r="2608" spans="1:2" ht="12" customHeight="1">
      <c r="A2608" s="605"/>
      <c r="B2608" s="568"/>
    </row>
    <row r="2609" spans="1:2" ht="12" customHeight="1">
      <c r="A2609" s="605"/>
      <c r="B2609" s="568"/>
    </row>
    <row r="2610" spans="1:2" ht="12" customHeight="1">
      <c r="A2610" s="605"/>
      <c r="B2610" s="568"/>
    </row>
    <row r="2611" spans="1:2" ht="12" customHeight="1">
      <c r="A2611" s="605"/>
      <c r="B2611" s="568"/>
    </row>
    <row r="2612" spans="1:2" ht="12" customHeight="1">
      <c r="A2612" s="605"/>
      <c r="B2612" s="568"/>
    </row>
    <row r="2613" spans="1:2" ht="12" customHeight="1">
      <c r="A2613" s="605"/>
      <c r="B2613" s="568"/>
    </row>
    <row r="2614" spans="1:2" ht="12" customHeight="1">
      <c r="A2614" s="605"/>
      <c r="B2614" s="568"/>
    </row>
    <row r="2615" spans="1:2" ht="12" customHeight="1">
      <c r="A2615" s="605"/>
      <c r="B2615" s="568"/>
    </row>
    <row r="2616" spans="1:2" ht="12" customHeight="1">
      <c r="A2616" s="605"/>
      <c r="B2616" s="568"/>
    </row>
    <row r="2617" spans="1:2" ht="12" customHeight="1">
      <c r="A2617" s="605"/>
      <c r="B2617" s="568"/>
    </row>
    <row r="2618" spans="1:2" ht="12" customHeight="1">
      <c r="A2618" s="605"/>
      <c r="B2618" s="568"/>
    </row>
    <row r="2619" spans="1:2" ht="12" customHeight="1">
      <c r="A2619" s="605"/>
      <c r="B2619" s="568"/>
    </row>
    <row r="2620" spans="1:2" ht="12" customHeight="1">
      <c r="A2620" s="605"/>
      <c r="B2620" s="568"/>
    </row>
    <row r="2621" spans="1:2" ht="12" customHeight="1">
      <c r="A2621" s="605"/>
      <c r="B2621" s="568"/>
    </row>
    <row r="2622" spans="1:2" ht="12" customHeight="1">
      <c r="A2622" s="605"/>
      <c r="B2622" s="568"/>
    </row>
    <row r="2623" spans="1:2" ht="12" customHeight="1">
      <c r="A2623" s="605"/>
      <c r="B2623" s="568"/>
    </row>
    <row r="2624" spans="1:2" ht="12" customHeight="1">
      <c r="A2624" s="605"/>
      <c r="B2624" s="568"/>
    </row>
    <row r="2625" spans="1:2" ht="12" customHeight="1">
      <c r="A2625" s="605"/>
      <c r="B2625" s="568"/>
    </row>
    <row r="2626" spans="1:2" ht="12" customHeight="1">
      <c r="A2626" s="605"/>
      <c r="B2626" s="568"/>
    </row>
    <row r="2627" spans="1:2" ht="12" customHeight="1">
      <c r="A2627" s="605"/>
      <c r="B2627" s="568"/>
    </row>
    <row r="2628" spans="1:2" ht="12" customHeight="1">
      <c r="A2628" s="605"/>
      <c r="B2628" s="568"/>
    </row>
    <row r="2629" spans="1:2" ht="12" customHeight="1">
      <c r="A2629" s="605"/>
      <c r="B2629" s="568"/>
    </row>
    <row r="2630" spans="1:2" ht="12" customHeight="1">
      <c r="A2630" s="605"/>
      <c r="B2630" s="568"/>
    </row>
    <row r="2631" spans="1:2" ht="12" customHeight="1">
      <c r="A2631" s="605"/>
      <c r="B2631" s="568"/>
    </row>
    <row r="2632" spans="1:2" ht="12" customHeight="1">
      <c r="A2632" s="605"/>
      <c r="B2632" s="568"/>
    </row>
    <row r="2633" spans="1:2" ht="12" customHeight="1">
      <c r="A2633" s="605"/>
      <c r="B2633" s="568"/>
    </row>
    <row r="2634" spans="1:2" ht="12" customHeight="1">
      <c r="A2634" s="605"/>
      <c r="B2634" s="568"/>
    </row>
    <row r="2635" spans="1:2" ht="12" customHeight="1">
      <c r="A2635" s="605"/>
      <c r="B2635" s="568"/>
    </row>
    <row r="2636" spans="1:2" ht="12" customHeight="1">
      <c r="A2636" s="605"/>
      <c r="B2636" s="568"/>
    </row>
    <row r="2637" spans="1:2" ht="12" customHeight="1">
      <c r="A2637" s="605"/>
      <c r="B2637" s="568"/>
    </row>
    <row r="2638" spans="1:2" ht="12" customHeight="1">
      <c r="A2638" s="605"/>
      <c r="B2638" s="568"/>
    </row>
    <row r="2639" spans="1:2" ht="12" customHeight="1">
      <c r="A2639" s="605"/>
      <c r="B2639" s="568"/>
    </row>
    <row r="2640" spans="1:2" ht="12" customHeight="1">
      <c r="A2640" s="605"/>
      <c r="B2640" s="568"/>
    </row>
    <row r="2641" spans="1:2" ht="12" customHeight="1">
      <c r="A2641" s="605"/>
      <c r="B2641" s="568"/>
    </row>
    <row r="2642" spans="1:2" ht="12" customHeight="1">
      <c r="A2642" s="605"/>
      <c r="B2642" s="568"/>
    </row>
    <row r="2643" spans="1:2" ht="12" customHeight="1">
      <c r="A2643" s="605"/>
      <c r="B2643" s="568"/>
    </row>
    <row r="2644" spans="1:2" ht="12" customHeight="1">
      <c r="A2644" s="605"/>
      <c r="B2644" s="568"/>
    </row>
    <row r="2645" spans="1:2" ht="12" customHeight="1">
      <c r="A2645" s="605"/>
      <c r="B2645" s="568"/>
    </row>
    <row r="2646" spans="1:2" ht="12" customHeight="1">
      <c r="A2646" s="605"/>
      <c r="B2646" s="568"/>
    </row>
    <row r="2647" spans="1:2" ht="12" customHeight="1">
      <c r="A2647" s="605"/>
      <c r="B2647" s="568"/>
    </row>
    <row r="2648" spans="1:2" ht="12" customHeight="1">
      <c r="A2648" s="605"/>
      <c r="B2648" s="568"/>
    </row>
    <row r="2649" spans="1:2" ht="12" customHeight="1">
      <c r="A2649" s="605"/>
      <c r="B2649" s="568"/>
    </row>
    <row r="2650" spans="1:2" ht="12" customHeight="1">
      <c r="A2650" s="605"/>
      <c r="B2650" s="568"/>
    </row>
    <row r="2651" spans="1:2" ht="12" customHeight="1">
      <c r="A2651" s="605"/>
      <c r="B2651" s="568"/>
    </row>
    <row r="2652" spans="1:2" ht="12" customHeight="1">
      <c r="A2652" s="605"/>
      <c r="B2652" s="568"/>
    </row>
    <row r="2653" spans="1:2" ht="12" customHeight="1">
      <c r="A2653" s="605"/>
      <c r="B2653" s="568"/>
    </row>
    <row r="2654" spans="1:2" ht="12" customHeight="1">
      <c r="A2654" s="605"/>
      <c r="B2654" s="568"/>
    </row>
    <row r="2655" spans="1:2" ht="12" customHeight="1">
      <c r="A2655" s="605"/>
      <c r="B2655" s="568"/>
    </row>
    <row r="2656" spans="1:2" ht="12" customHeight="1">
      <c r="A2656" s="605"/>
      <c r="B2656" s="568"/>
    </row>
    <row r="2657" spans="1:2" ht="12" customHeight="1">
      <c r="A2657" s="605"/>
      <c r="B2657" s="568"/>
    </row>
    <row r="2658" spans="1:2" ht="12" customHeight="1">
      <c r="A2658" s="605"/>
      <c r="B2658" s="568"/>
    </row>
    <row r="2659" spans="1:2" ht="12" customHeight="1">
      <c r="A2659" s="605"/>
      <c r="B2659" s="568"/>
    </row>
    <row r="2660" spans="1:2" ht="12" customHeight="1">
      <c r="A2660" s="605"/>
      <c r="B2660" s="568"/>
    </row>
    <row r="2661" spans="1:2" ht="12" customHeight="1">
      <c r="A2661" s="605"/>
      <c r="B2661" s="568"/>
    </row>
    <row r="2662" spans="1:2" ht="12" customHeight="1">
      <c r="A2662" s="605"/>
      <c r="B2662" s="568"/>
    </row>
    <row r="2663" spans="1:2" ht="12" customHeight="1">
      <c r="A2663" s="605"/>
      <c r="B2663" s="568"/>
    </row>
    <row r="2664" spans="1:2" ht="12" customHeight="1">
      <c r="A2664" s="605"/>
      <c r="B2664" s="568"/>
    </row>
    <row r="2665" spans="1:2" ht="12" customHeight="1">
      <c r="A2665" s="605"/>
      <c r="B2665" s="568"/>
    </row>
    <row r="2666" spans="1:2" ht="12" customHeight="1">
      <c r="A2666" s="605"/>
      <c r="B2666" s="568"/>
    </row>
    <row r="2667" spans="1:2" ht="12" customHeight="1">
      <c r="A2667" s="605"/>
      <c r="B2667" s="568"/>
    </row>
    <row r="2668" spans="1:2" ht="12" customHeight="1">
      <c r="A2668" s="605"/>
      <c r="B2668" s="568"/>
    </row>
    <row r="2669" spans="1:2" ht="12" customHeight="1">
      <c r="A2669" s="605"/>
      <c r="B2669" s="568"/>
    </row>
    <row r="2670" spans="1:2" ht="12" customHeight="1">
      <c r="A2670" s="605"/>
      <c r="B2670" s="568"/>
    </row>
    <row r="2671" spans="1:2" ht="12" customHeight="1">
      <c r="A2671" s="605"/>
      <c r="B2671" s="568"/>
    </row>
    <row r="2672" spans="1:2" ht="12" customHeight="1">
      <c r="A2672" s="605"/>
      <c r="B2672" s="568"/>
    </row>
    <row r="2673" spans="1:2" ht="12" customHeight="1">
      <c r="A2673" s="605"/>
      <c r="B2673" s="568"/>
    </row>
    <row r="2674" spans="1:2" ht="12" customHeight="1">
      <c r="A2674" s="605"/>
      <c r="B2674" s="568"/>
    </row>
    <row r="2675" spans="1:2" ht="12" customHeight="1">
      <c r="A2675" s="605"/>
      <c r="B2675" s="568"/>
    </row>
    <row r="2676" spans="1:2" ht="12" customHeight="1">
      <c r="A2676" s="605"/>
      <c r="B2676" s="568"/>
    </row>
    <row r="2677" spans="1:2" ht="12" customHeight="1">
      <c r="A2677" s="605"/>
      <c r="B2677" s="568"/>
    </row>
    <row r="2678" spans="1:2" ht="12" customHeight="1">
      <c r="A2678" s="605"/>
      <c r="B2678" s="568"/>
    </row>
    <row r="2679" spans="1:2" ht="12" customHeight="1">
      <c r="A2679" s="605"/>
      <c r="B2679" s="568"/>
    </row>
    <row r="2680" spans="1:2" ht="12" customHeight="1">
      <c r="A2680" s="605"/>
      <c r="B2680" s="568"/>
    </row>
    <row r="2681" spans="1:2" ht="12" customHeight="1">
      <c r="A2681" s="605"/>
      <c r="B2681" s="568"/>
    </row>
    <row r="2682" spans="1:2" ht="12" customHeight="1">
      <c r="A2682" s="605"/>
      <c r="B2682" s="568"/>
    </row>
    <row r="2683" spans="1:2" ht="12" customHeight="1">
      <c r="A2683" s="605"/>
      <c r="B2683" s="568"/>
    </row>
    <row r="2684" spans="1:2" ht="12" customHeight="1">
      <c r="A2684" s="605"/>
      <c r="B2684" s="568"/>
    </row>
    <row r="2685" spans="1:2" ht="12" customHeight="1">
      <c r="A2685" s="605"/>
      <c r="B2685" s="568"/>
    </row>
    <row r="2686" spans="1:2" ht="12" customHeight="1">
      <c r="A2686" s="605"/>
      <c r="B2686" s="568"/>
    </row>
    <row r="2687" spans="1:2" ht="12" customHeight="1">
      <c r="A2687" s="605"/>
      <c r="B2687" s="568"/>
    </row>
    <row r="2688" spans="1:2" ht="12" customHeight="1">
      <c r="A2688" s="605"/>
      <c r="B2688" s="568"/>
    </row>
    <row r="2689" spans="1:2" ht="12" customHeight="1">
      <c r="A2689" s="605"/>
      <c r="B2689" s="568"/>
    </row>
    <row r="2690" spans="1:2" ht="12" customHeight="1">
      <c r="A2690" s="605"/>
      <c r="B2690" s="568"/>
    </row>
    <row r="2691" spans="1:2" ht="12" customHeight="1">
      <c r="A2691" s="605"/>
      <c r="B2691" s="568"/>
    </row>
    <row r="2692" spans="1:2" ht="12" customHeight="1">
      <c r="A2692" s="605"/>
      <c r="B2692" s="568"/>
    </row>
    <row r="2693" spans="1:2" ht="12" customHeight="1">
      <c r="A2693" s="605"/>
      <c r="B2693" s="568"/>
    </row>
    <row r="2694" spans="1:2" ht="12" customHeight="1">
      <c r="A2694" s="605"/>
      <c r="B2694" s="568"/>
    </row>
    <row r="2695" spans="1:2" ht="12" customHeight="1">
      <c r="A2695" s="605"/>
      <c r="B2695" s="568"/>
    </row>
    <row r="2696" spans="1:2" ht="12" customHeight="1">
      <c r="A2696" s="605"/>
      <c r="B2696" s="568"/>
    </row>
    <row r="2697" spans="1:2" ht="12" customHeight="1">
      <c r="A2697" s="605"/>
      <c r="B2697" s="568"/>
    </row>
    <row r="2698" spans="1:2" ht="12" customHeight="1">
      <c r="A2698" s="605"/>
      <c r="B2698" s="568"/>
    </row>
    <row r="2699" spans="1:2" ht="12" customHeight="1">
      <c r="A2699" s="605"/>
      <c r="B2699" s="568"/>
    </row>
    <row r="2700" spans="1:2" ht="12" customHeight="1">
      <c r="A2700" s="605"/>
      <c r="B2700" s="568"/>
    </row>
    <row r="2701" spans="1:2" ht="12" customHeight="1">
      <c r="A2701" s="605"/>
      <c r="B2701" s="568"/>
    </row>
    <row r="2702" spans="1:2" ht="12" customHeight="1">
      <c r="A2702" s="605"/>
      <c r="B2702" s="568"/>
    </row>
    <row r="2703" spans="1:2" ht="12" customHeight="1">
      <c r="A2703" s="605"/>
      <c r="B2703" s="568"/>
    </row>
    <row r="2704" spans="1:2" ht="12" customHeight="1">
      <c r="A2704" s="605"/>
      <c r="B2704" s="568"/>
    </row>
    <row r="2705" spans="1:2" ht="12" customHeight="1">
      <c r="A2705" s="605"/>
      <c r="B2705" s="568"/>
    </row>
    <row r="2706" spans="1:2" ht="12" customHeight="1">
      <c r="A2706" s="605"/>
      <c r="B2706" s="568"/>
    </row>
    <row r="2707" spans="1:2" ht="12" customHeight="1">
      <c r="A2707" s="605"/>
      <c r="B2707" s="568"/>
    </row>
    <row r="2708" spans="1:2" ht="12" customHeight="1">
      <c r="A2708" s="605"/>
      <c r="B2708" s="568"/>
    </row>
    <row r="2709" spans="1:2" ht="12" customHeight="1">
      <c r="A2709" s="605"/>
      <c r="B2709" s="568"/>
    </row>
    <row r="2710" spans="1:2" ht="12" customHeight="1">
      <c r="A2710" s="605"/>
      <c r="B2710" s="568"/>
    </row>
    <row r="2711" spans="1:2" ht="12" customHeight="1">
      <c r="A2711" s="605"/>
      <c r="B2711" s="568"/>
    </row>
    <row r="2712" spans="1:2" ht="12" customHeight="1">
      <c r="A2712" s="605"/>
      <c r="B2712" s="568"/>
    </row>
    <row r="2713" spans="1:2" ht="12" customHeight="1">
      <c r="A2713" s="605"/>
      <c r="B2713" s="568"/>
    </row>
    <row r="2714" spans="1:2" ht="12" customHeight="1">
      <c r="A2714" s="605"/>
      <c r="B2714" s="568"/>
    </row>
    <row r="2715" spans="1:2" ht="12" customHeight="1">
      <c r="A2715" s="605"/>
      <c r="B2715" s="568"/>
    </row>
    <row r="2716" spans="1:2" ht="12" customHeight="1">
      <c r="A2716" s="605"/>
      <c r="B2716" s="568"/>
    </row>
    <row r="2717" spans="1:2" ht="12" customHeight="1">
      <c r="A2717" s="605"/>
      <c r="B2717" s="568"/>
    </row>
    <row r="2718" spans="1:2" ht="12" customHeight="1">
      <c r="A2718" s="605"/>
      <c r="B2718" s="568"/>
    </row>
    <row r="2719" spans="1:2" ht="12" customHeight="1">
      <c r="A2719" s="605"/>
      <c r="B2719" s="568"/>
    </row>
    <row r="2720" spans="1:2" ht="12" customHeight="1">
      <c r="A2720" s="605"/>
      <c r="B2720" s="568"/>
    </row>
    <row r="2721" spans="1:2" ht="12" customHeight="1">
      <c r="A2721" s="605"/>
      <c r="B2721" s="568"/>
    </row>
    <row r="2722" spans="1:2" ht="12" customHeight="1">
      <c r="A2722" s="605"/>
      <c r="B2722" s="568"/>
    </row>
    <row r="2723" spans="1:2" ht="12" customHeight="1">
      <c r="A2723" s="605"/>
      <c r="B2723" s="568"/>
    </row>
    <row r="2724" spans="1:2" ht="12" customHeight="1">
      <c r="A2724" s="605"/>
      <c r="B2724" s="568"/>
    </row>
    <row r="2725" spans="1:2" ht="12" customHeight="1">
      <c r="A2725" s="605"/>
      <c r="B2725" s="568"/>
    </row>
    <row r="2726" spans="1:2" ht="12" customHeight="1">
      <c r="A2726" s="605"/>
      <c r="B2726" s="568"/>
    </row>
    <row r="2727" spans="1:2" ht="12" customHeight="1">
      <c r="A2727" s="605"/>
      <c r="B2727" s="568"/>
    </row>
    <row r="2728" spans="1:2" ht="12" customHeight="1">
      <c r="A2728" s="605"/>
      <c r="B2728" s="568"/>
    </row>
    <row r="2729" spans="1:2" ht="12" customHeight="1">
      <c r="A2729" s="605"/>
      <c r="B2729" s="568"/>
    </row>
    <row r="2730" spans="1:2" ht="12" customHeight="1">
      <c r="A2730" s="605"/>
      <c r="B2730" s="568"/>
    </row>
    <row r="2731" spans="1:2" ht="12" customHeight="1">
      <c r="A2731" s="605"/>
      <c r="B2731" s="568"/>
    </row>
    <row r="2732" spans="1:2" ht="12" customHeight="1">
      <c r="A2732" s="605"/>
      <c r="B2732" s="568"/>
    </row>
    <row r="2733" spans="1:2" ht="12" customHeight="1">
      <c r="A2733" s="605"/>
      <c r="B2733" s="568"/>
    </row>
    <row r="2734" spans="1:2" ht="12" customHeight="1">
      <c r="A2734" s="605"/>
      <c r="B2734" s="568"/>
    </row>
    <row r="2735" spans="1:2" ht="12" customHeight="1">
      <c r="A2735" s="605"/>
      <c r="B2735" s="568"/>
    </row>
    <row r="2736" spans="1:2" ht="12" customHeight="1">
      <c r="A2736" s="605"/>
      <c r="B2736" s="568"/>
    </row>
    <row r="2737" spans="1:2" ht="12" customHeight="1">
      <c r="A2737" s="605"/>
      <c r="B2737" s="568"/>
    </row>
    <row r="2738" spans="1:2" ht="12" customHeight="1">
      <c r="A2738" s="605"/>
      <c r="B2738" s="568"/>
    </row>
    <row r="2739" spans="1:2" ht="12" customHeight="1">
      <c r="A2739" s="605"/>
      <c r="B2739" s="568"/>
    </row>
    <row r="2740" spans="1:2" ht="12" customHeight="1">
      <c r="A2740" s="605"/>
      <c r="B2740" s="568"/>
    </row>
    <row r="2741" spans="1:2" ht="12" customHeight="1">
      <c r="A2741" s="605"/>
      <c r="B2741" s="568"/>
    </row>
    <row r="2742" spans="1:2" ht="12" customHeight="1">
      <c r="A2742" s="605"/>
      <c r="B2742" s="568"/>
    </row>
    <row r="2743" spans="1:2" ht="12" customHeight="1">
      <c r="A2743" s="605"/>
      <c r="B2743" s="568"/>
    </row>
    <row r="2744" spans="1:2" ht="12" customHeight="1">
      <c r="A2744" s="605"/>
      <c r="B2744" s="568"/>
    </row>
    <row r="2745" spans="1:2" ht="12" customHeight="1">
      <c r="A2745" s="605"/>
      <c r="B2745" s="568"/>
    </row>
    <row r="2746" spans="1:2" ht="12" customHeight="1">
      <c r="A2746" s="605"/>
      <c r="B2746" s="568"/>
    </row>
    <row r="2747" spans="1:2" ht="12" customHeight="1">
      <c r="A2747" s="605"/>
      <c r="B2747" s="568"/>
    </row>
    <row r="2748" spans="1:2" ht="12" customHeight="1">
      <c r="A2748" s="605"/>
      <c r="B2748" s="568"/>
    </row>
    <row r="2749" spans="1:2" ht="12" customHeight="1">
      <c r="A2749" s="605"/>
      <c r="B2749" s="568"/>
    </row>
    <row r="2750" spans="1:2" ht="12" customHeight="1">
      <c r="A2750" s="605"/>
      <c r="B2750" s="568"/>
    </row>
    <row r="2751" spans="1:2" ht="12" customHeight="1">
      <c r="A2751" s="605"/>
      <c r="B2751" s="568"/>
    </row>
    <row r="2752" spans="1:2" ht="12" customHeight="1">
      <c r="A2752" s="605"/>
      <c r="B2752" s="568"/>
    </row>
    <row r="2753" spans="1:2" ht="12" customHeight="1">
      <c r="A2753" s="605"/>
      <c r="B2753" s="568"/>
    </row>
    <row r="2754" spans="1:2" ht="12" customHeight="1">
      <c r="A2754" s="605"/>
      <c r="B2754" s="568"/>
    </row>
    <row r="2755" spans="1:2" ht="12" customHeight="1">
      <c r="A2755" s="605"/>
      <c r="B2755" s="568"/>
    </row>
    <row r="2756" spans="1:2" ht="12" customHeight="1">
      <c r="A2756" s="605"/>
      <c r="B2756" s="568"/>
    </row>
    <row r="2757" spans="1:2" ht="12" customHeight="1">
      <c r="A2757" s="605"/>
      <c r="B2757" s="568"/>
    </row>
    <row r="2758" spans="1:2" ht="12" customHeight="1">
      <c r="A2758" s="605"/>
      <c r="B2758" s="568"/>
    </row>
    <row r="2759" spans="1:2" ht="12" customHeight="1">
      <c r="A2759" s="605"/>
      <c r="B2759" s="568"/>
    </row>
    <row r="2760" spans="1:2" ht="12" customHeight="1">
      <c r="A2760" s="605"/>
      <c r="B2760" s="568"/>
    </row>
    <row r="2761" spans="1:2" ht="12" customHeight="1">
      <c r="A2761" s="605"/>
      <c r="B2761" s="568"/>
    </row>
    <row r="2762" spans="1:2" ht="12" customHeight="1">
      <c r="A2762" s="605"/>
      <c r="B2762" s="568"/>
    </row>
    <row r="2763" spans="1:2" ht="12" customHeight="1">
      <c r="A2763" s="605"/>
      <c r="B2763" s="568"/>
    </row>
    <row r="2764" spans="1:2" ht="12" customHeight="1">
      <c r="A2764" s="605"/>
      <c r="B2764" s="568"/>
    </row>
    <row r="2765" spans="1:2" ht="12" customHeight="1">
      <c r="A2765" s="605"/>
      <c r="B2765" s="568"/>
    </row>
    <row r="2766" spans="1:2" ht="12" customHeight="1">
      <c r="A2766" s="605"/>
      <c r="B2766" s="568"/>
    </row>
    <row r="2767" spans="1:2" ht="12" customHeight="1">
      <c r="A2767" s="605"/>
      <c r="B2767" s="568"/>
    </row>
    <row r="2768" spans="1:2" ht="12" customHeight="1">
      <c r="A2768" s="605"/>
      <c r="B2768" s="568"/>
    </row>
    <row r="2769" spans="1:2" ht="12" customHeight="1">
      <c r="A2769" s="605"/>
      <c r="B2769" s="568"/>
    </row>
    <row r="2770" spans="1:2" ht="12" customHeight="1">
      <c r="A2770" s="605"/>
      <c r="B2770" s="568"/>
    </row>
    <row r="2771" spans="1:2" ht="12" customHeight="1">
      <c r="A2771" s="605"/>
      <c r="B2771" s="568"/>
    </row>
    <row r="2772" spans="1:2" ht="12" customHeight="1">
      <c r="A2772" s="605"/>
      <c r="B2772" s="568"/>
    </row>
    <row r="2773" spans="1:2" ht="12" customHeight="1">
      <c r="A2773" s="605"/>
      <c r="B2773" s="568"/>
    </row>
    <row r="2774" spans="1:2" ht="12" customHeight="1">
      <c r="A2774" s="605"/>
      <c r="B2774" s="568"/>
    </row>
    <row r="2775" spans="1:2" ht="12" customHeight="1">
      <c r="A2775" s="605"/>
      <c r="B2775" s="568"/>
    </row>
    <row r="2776" spans="1:2" ht="12" customHeight="1">
      <c r="A2776" s="605"/>
      <c r="B2776" s="568"/>
    </row>
    <row r="2777" spans="1:2" ht="12" customHeight="1">
      <c r="A2777" s="605"/>
      <c r="B2777" s="568"/>
    </row>
    <row r="2778" spans="1:2" ht="12" customHeight="1">
      <c r="A2778" s="605"/>
      <c r="B2778" s="568"/>
    </row>
    <row r="2779" spans="1:2" ht="12" customHeight="1">
      <c r="A2779" s="605"/>
      <c r="B2779" s="568"/>
    </row>
    <row r="2780" spans="1:2" ht="12" customHeight="1">
      <c r="A2780" s="605"/>
      <c r="B2780" s="568"/>
    </row>
    <row r="2781" spans="1:2" ht="12" customHeight="1">
      <c r="A2781" s="605"/>
      <c r="B2781" s="568"/>
    </row>
    <row r="2782" spans="1:2" ht="12" customHeight="1">
      <c r="A2782" s="605"/>
      <c r="B2782" s="568"/>
    </row>
    <row r="2783" spans="1:2" ht="12" customHeight="1">
      <c r="A2783" s="605"/>
      <c r="B2783" s="568"/>
    </row>
    <row r="2784" spans="1:2" ht="12" customHeight="1">
      <c r="A2784" s="605"/>
      <c r="B2784" s="568"/>
    </row>
    <row r="2785" spans="1:2" ht="12" customHeight="1">
      <c r="A2785" s="605"/>
      <c r="B2785" s="568"/>
    </row>
    <row r="2786" spans="1:2" ht="12" customHeight="1">
      <c r="A2786" s="605"/>
      <c r="B2786" s="568"/>
    </row>
    <row r="2787" spans="1:2" ht="12" customHeight="1">
      <c r="A2787" s="605"/>
      <c r="B2787" s="568"/>
    </row>
    <row r="2788" spans="1:2" ht="12" customHeight="1">
      <c r="A2788" s="605"/>
      <c r="B2788" s="568"/>
    </row>
    <row r="2789" spans="1:2" ht="12" customHeight="1">
      <c r="A2789" s="605"/>
      <c r="B2789" s="568"/>
    </row>
    <row r="2790" spans="1:2" ht="12" customHeight="1">
      <c r="A2790" s="605"/>
      <c r="B2790" s="568"/>
    </row>
    <row r="2791" spans="1:2" ht="12" customHeight="1">
      <c r="A2791" s="605"/>
      <c r="B2791" s="568"/>
    </row>
    <row r="2792" spans="1:2" ht="12" customHeight="1">
      <c r="A2792" s="605"/>
      <c r="B2792" s="568"/>
    </row>
    <row r="2793" spans="1:2" ht="12" customHeight="1">
      <c r="A2793" s="605"/>
      <c r="B2793" s="568"/>
    </row>
    <row r="2794" spans="1:2" ht="12" customHeight="1">
      <c r="A2794" s="605"/>
      <c r="B2794" s="568"/>
    </row>
    <row r="2795" spans="1:2" ht="12" customHeight="1">
      <c r="A2795" s="605"/>
      <c r="B2795" s="568"/>
    </row>
    <row r="2796" spans="1:2" ht="12" customHeight="1">
      <c r="A2796" s="605"/>
      <c r="B2796" s="568"/>
    </row>
    <row r="2797" spans="1:2" ht="12" customHeight="1">
      <c r="A2797" s="605"/>
      <c r="B2797" s="568"/>
    </row>
    <row r="2798" spans="1:2" ht="12" customHeight="1">
      <c r="A2798" s="605"/>
      <c r="B2798" s="568"/>
    </row>
    <row r="2799" spans="1:2" ht="12" customHeight="1">
      <c r="A2799" s="605"/>
      <c r="B2799" s="568"/>
    </row>
    <row r="2800" spans="1:2" ht="12" customHeight="1">
      <c r="A2800" s="605"/>
      <c r="B2800" s="568"/>
    </row>
    <row r="2801" spans="1:2" ht="12" customHeight="1">
      <c r="A2801" s="605"/>
      <c r="B2801" s="568"/>
    </row>
    <row r="2802" spans="1:2" ht="12" customHeight="1">
      <c r="A2802" s="605"/>
      <c r="B2802" s="568"/>
    </row>
    <row r="2803" spans="1:2" ht="12" customHeight="1">
      <c r="A2803" s="605"/>
      <c r="B2803" s="568"/>
    </row>
    <row r="2804" spans="1:2" ht="12" customHeight="1">
      <c r="A2804" s="605"/>
      <c r="B2804" s="568"/>
    </row>
    <row r="2805" spans="1:2" ht="12" customHeight="1">
      <c r="A2805" s="605"/>
      <c r="B2805" s="568"/>
    </row>
    <row r="2806" spans="1:2" ht="12" customHeight="1">
      <c r="A2806" s="605"/>
      <c r="B2806" s="568"/>
    </row>
    <row r="2807" spans="1:2" ht="12" customHeight="1">
      <c r="A2807" s="605"/>
      <c r="B2807" s="568"/>
    </row>
    <row r="2808" spans="1:2" ht="12" customHeight="1">
      <c r="A2808" s="605"/>
      <c r="B2808" s="568"/>
    </row>
    <row r="2809" spans="1:2" ht="12" customHeight="1">
      <c r="A2809" s="605"/>
      <c r="B2809" s="568"/>
    </row>
    <row r="2810" spans="1:2" ht="12" customHeight="1">
      <c r="A2810" s="605"/>
      <c r="B2810" s="568"/>
    </row>
    <row r="2811" spans="1:2" ht="12" customHeight="1">
      <c r="A2811" s="605"/>
      <c r="B2811" s="568"/>
    </row>
    <row r="2812" spans="1:2" ht="12" customHeight="1">
      <c r="A2812" s="605"/>
      <c r="B2812" s="568"/>
    </row>
    <row r="2813" spans="1:2" ht="12" customHeight="1">
      <c r="A2813" s="605"/>
      <c r="B2813" s="568"/>
    </row>
    <row r="2814" spans="1:2" ht="12" customHeight="1">
      <c r="A2814" s="605"/>
      <c r="B2814" s="568"/>
    </row>
    <row r="2815" spans="1:2" ht="12" customHeight="1">
      <c r="A2815" s="605"/>
      <c r="B2815" s="568"/>
    </row>
    <row r="2816" spans="1:2" ht="12" customHeight="1">
      <c r="A2816" s="605"/>
      <c r="B2816" s="568"/>
    </row>
    <row r="2817" spans="1:2" ht="12" customHeight="1">
      <c r="A2817" s="605"/>
      <c r="B2817" s="568"/>
    </row>
    <row r="2818" spans="1:2" ht="12" customHeight="1">
      <c r="A2818" s="605"/>
      <c r="B2818" s="568"/>
    </row>
    <row r="2819" spans="1:2" ht="12" customHeight="1">
      <c r="A2819" s="605"/>
      <c r="B2819" s="568"/>
    </row>
    <row r="2820" spans="1:2" ht="12" customHeight="1">
      <c r="A2820" s="605"/>
      <c r="B2820" s="568"/>
    </row>
    <row r="2821" spans="1:2" ht="12" customHeight="1">
      <c r="A2821" s="605"/>
      <c r="B2821" s="568"/>
    </row>
    <row r="2822" spans="1:2" ht="12" customHeight="1">
      <c r="A2822" s="605"/>
      <c r="B2822" s="568"/>
    </row>
    <row r="2823" spans="1:2" ht="12" customHeight="1">
      <c r="A2823" s="605"/>
      <c r="B2823" s="568"/>
    </row>
    <row r="2824" spans="1:2" ht="12" customHeight="1">
      <c r="A2824" s="605"/>
      <c r="B2824" s="568"/>
    </row>
    <row r="2825" spans="1:2" ht="12" customHeight="1">
      <c r="A2825" s="605"/>
      <c r="B2825" s="568"/>
    </row>
    <row r="2826" spans="1:2" ht="12" customHeight="1">
      <c r="A2826" s="605"/>
      <c r="B2826" s="568"/>
    </row>
    <row r="2827" spans="1:2" ht="12" customHeight="1">
      <c r="A2827" s="605"/>
      <c r="B2827" s="568"/>
    </row>
    <row r="2828" spans="1:2" ht="12" customHeight="1">
      <c r="A2828" s="605"/>
      <c r="B2828" s="568"/>
    </row>
    <row r="2829" spans="1:2" ht="12" customHeight="1">
      <c r="A2829" s="605"/>
      <c r="B2829" s="568"/>
    </row>
    <row r="2830" spans="1:2" ht="12" customHeight="1">
      <c r="A2830" s="605"/>
      <c r="B2830" s="568"/>
    </row>
    <row r="2831" spans="1:2" ht="12" customHeight="1">
      <c r="A2831" s="605"/>
      <c r="B2831" s="568"/>
    </row>
    <row r="2832" spans="1:2" ht="12" customHeight="1">
      <c r="A2832" s="605"/>
      <c r="B2832" s="568"/>
    </row>
    <row r="2833" spans="1:2" ht="12" customHeight="1">
      <c r="A2833" s="605"/>
      <c r="B2833" s="568"/>
    </row>
    <row r="2834" spans="1:2" ht="12" customHeight="1">
      <c r="A2834" s="605"/>
      <c r="B2834" s="568"/>
    </row>
    <row r="2835" spans="1:2" ht="12" customHeight="1">
      <c r="A2835" s="605"/>
      <c r="B2835" s="568"/>
    </row>
    <row r="2836" spans="1:2" ht="12" customHeight="1">
      <c r="A2836" s="605"/>
      <c r="B2836" s="568"/>
    </row>
    <row r="2837" spans="1:2" ht="12" customHeight="1">
      <c r="A2837" s="605"/>
      <c r="B2837" s="568"/>
    </row>
    <row r="2838" spans="1:2" ht="12" customHeight="1">
      <c r="A2838" s="605"/>
      <c r="B2838" s="568"/>
    </row>
    <row r="2839" spans="1:2" ht="12" customHeight="1">
      <c r="A2839" s="605"/>
      <c r="B2839" s="568"/>
    </row>
    <row r="2840" spans="1:2" ht="12" customHeight="1">
      <c r="A2840" s="605"/>
      <c r="B2840" s="568"/>
    </row>
    <row r="2841" spans="1:2" ht="12" customHeight="1">
      <c r="A2841" s="605"/>
      <c r="B2841" s="568"/>
    </row>
    <row r="2842" spans="1:2" ht="12" customHeight="1">
      <c r="A2842" s="605"/>
      <c r="B2842" s="568"/>
    </row>
    <row r="2843" spans="1:2" ht="12" customHeight="1">
      <c r="A2843" s="605"/>
      <c r="B2843" s="568"/>
    </row>
    <row r="2844" spans="1:2" ht="12" customHeight="1">
      <c r="A2844" s="605"/>
      <c r="B2844" s="568"/>
    </row>
    <row r="2845" spans="1:2" ht="12" customHeight="1">
      <c r="A2845" s="605"/>
      <c r="B2845" s="568"/>
    </row>
    <row r="2846" spans="1:2" ht="12" customHeight="1">
      <c r="A2846" s="605"/>
      <c r="B2846" s="568"/>
    </row>
    <row r="2847" spans="1:2" ht="12" customHeight="1">
      <c r="A2847" s="605"/>
      <c r="B2847" s="568"/>
    </row>
    <row r="2848" spans="1:2" ht="12" customHeight="1">
      <c r="A2848" s="605"/>
      <c r="B2848" s="568"/>
    </row>
    <row r="2849" spans="1:2" ht="12" customHeight="1">
      <c r="A2849" s="605"/>
      <c r="B2849" s="568"/>
    </row>
    <row r="2850" spans="1:2" ht="12" customHeight="1">
      <c r="A2850" s="605"/>
      <c r="B2850" s="568"/>
    </row>
    <row r="2851" spans="1:2" ht="12" customHeight="1">
      <c r="A2851" s="605"/>
      <c r="B2851" s="568"/>
    </row>
    <row r="2852" spans="1:2" ht="12" customHeight="1">
      <c r="A2852" s="605"/>
      <c r="B2852" s="568"/>
    </row>
    <row r="2853" spans="1:2" ht="12" customHeight="1">
      <c r="A2853" s="605"/>
      <c r="B2853" s="568"/>
    </row>
    <row r="2854" spans="1:2" ht="12" customHeight="1">
      <c r="A2854" s="605"/>
      <c r="B2854" s="568"/>
    </row>
    <row r="2855" spans="1:2" ht="12" customHeight="1">
      <c r="A2855" s="605"/>
      <c r="B2855" s="568"/>
    </row>
    <row r="2856" spans="1:2" ht="12" customHeight="1">
      <c r="A2856" s="605"/>
      <c r="B2856" s="568"/>
    </row>
    <row r="2857" spans="1:2" ht="12" customHeight="1">
      <c r="A2857" s="605"/>
      <c r="B2857" s="568"/>
    </row>
    <row r="2858" spans="1:2" ht="12" customHeight="1">
      <c r="A2858" s="605"/>
      <c r="B2858" s="568"/>
    </row>
    <row r="2859" spans="1:2" ht="12" customHeight="1">
      <c r="A2859" s="605"/>
      <c r="B2859" s="568"/>
    </row>
    <row r="2860" spans="1:2" ht="12" customHeight="1">
      <c r="A2860" s="605"/>
      <c r="B2860" s="568"/>
    </row>
    <row r="2861" spans="1:2" ht="12" customHeight="1">
      <c r="A2861" s="605"/>
      <c r="B2861" s="568"/>
    </row>
    <row r="2862" spans="1:2" ht="12" customHeight="1">
      <c r="A2862" s="605"/>
      <c r="B2862" s="568"/>
    </row>
    <row r="2863" spans="1:2" ht="12" customHeight="1">
      <c r="A2863" s="605"/>
      <c r="B2863" s="568"/>
    </row>
    <row r="2864" spans="1:2" ht="12" customHeight="1">
      <c r="A2864" s="605"/>
      <c r="B2864" s="568"/>
    </row>
    <row r="2865" spans="1:2" ht="12" customHeight="1">
      <c r="A2865" s="605"/>
      <c r="B2865" s="568"/>
    </row>
    <row r="2866" spans="1:2" ht="12" customHeight="1">
      <c r="A2866" s="605"/>
      <c r="B2866" s="568"/>
    </row>
    <row r="2867" spans="1:2" ht="12" customHeight="1">
      <c r="A2867" s="605"/>
      <c r="B2867" s="568"/>
    </row>
    <row r="2868" spans="1:2" ht="12" customHeight="1">
      <c r="A2868" s="605"/>
      <c r="B2868" s="568"/>
    </row>
    <row r="2869" spans="1:2" ht="12" customHeight="1">
      <c r="A2869" s="605"/>
      <c r="B2869" s="568"/>
    </row>
    <row r="2870" spans="1:2" ht="12" customHeight="1">
      <c r="A2870" s="605"/>
      <c r="B2870" s="568"/>
    </row>
    <row r="2871" spans="1:2" ht="12" customHeight="1">
      <c r="A2871" s="605"/>
      <c r="B2871" s="568"/>
    </row>
    <row r="2872" spans="1:2" ht="12" customHeight="1">
      <c r="A2872" s="605"/>
      <c r="B2872" s="568"/>
    </row>
    <row r="2873" spans="1:2" ht="12" customHeight="1">
      <c r="A2873" s="605"/>
      <c r="B2873" s="568"/>
    </row>
    <row r="2874" spans="1:2" ht="12" customHeight="1">
      <c r="A2874" s="605"/>
      <c r="B2874" s="568"/>
    </row>
    <row r="2875" spans="1:2" ht="12" customHeight="1">
      <c r="A2875" s="605"/>
      <c r="B2875" s="568"/>
    </row>
    <row r="2876" spans="1:2" ht="12" customHeight="1">
      <c r="A2876" s="605"/>
      <c r="B2876" s="568"/>
    </row>
    <row r="2877" spans="1:2" ht="12" customHeight="1">
      <c r="A2877" s="605"/>
      <c r="B2877" s="568"/>
    </row>
    <row r="2878" spans="1:2" ht="12" customHeight="1">
      <c r="A2878" s="605"/>
      <c r="B2878" s="568"/>
    </row>
    <row r="2879" spans="1:2" ht="12" customHeight="1">
      <c r="A2879" s="605"/>
      <c r="B2879" s="568"/>
    </row>
    <row r="2880" spans="1:2" ht="12" customHeight="1">
      <c r="A2880" s="605"/>
      <c r="B2880" s="568"/>
    </row>
    <row r="2881" spans="1:2" ht="12" customHeight="1">
      <c r="A2881" s="605"/>
      <c r="B2881" s="568"/>
    </row>
    <row r="2882" spans="1:2" ht="12" customHeight="1">
      <c r="A2882" s="605"/>
      <c r="B2882" s="568"/>
    </row>
    <row r="2883" spans="1:2" ht="12" customHeight="1">
      <c r="A2883" s="605"/>
      <c r="B2883" s="568"/>
    </row>
    <row r="2884" spans="1:2" ht="12" customHeight="1">
      <c r="A2884" s="605"/>
      <c r="B2884" s="568"/>
    </row>
    <row r="2885" spans="1:2" ht="12" customHeight="1">
      <c r="A2885" s="605"/>
      <c r="B2885" s="568"/>
    </row>
    <row r="2886" spans="1:2" ht="12" customHeight="1">
      <c r="A2886" s="605"/>
      <c r="B2886" s="568"/>
    </row>
    <row r="2887" spans="1:2" ht="12" customHeight="1">
      <c r="A2887" s="605"/>
      <c r="B2887" s="568"/>
    </row>
    <row r="2888" spans="1:2" ht="12" customHeight="1">
      <c r="A2888" s="605"/>
      <c r="B2888" s="568"/>
    </row>
    <row r="2889" spans="1:2" ht="12" customHeight="1">
      <c r="A2889" s="605"/>
      <c r="B2889" s="568"/>
    </row>
    <row r="2890" spans="1:2" ht="12" customHeight="1">
      <c r="A2890" s="605"/>
      <c r="B2890" s="568"/>
    </row>
    <row r="2891" spans="1:2" ht="12" customHeight="1">
      <c r="A2891" s="605"/>
      <c r="B2891" s="568"/>
    </row>
    <row r="2892" spans="1:2" ht="12" customHeight="1">
      <c r="A2892" s="605"/>
      <c r="B2892" s="568"/>
    </row>
    <row r="2893" spans="1:2" ht="12" customHeight="1">
      <c r="A2893" s="605"/>
      <c r="B2893" s="568"/>
    </row>
    <row r="2894" spans="1:2" ht="12" customHeight="1">
      <c r="A2894" s="605"/>
      <c r="B2894" s="568"/>
    </row>
    <row r="2895" spans="1:2" ht="12" customHeight="1">
      <c r="A2895" s="605"/>
      <c r="B2895" s="568"/>
    </row>
    <row r="2896" spans="1:2" ht="12" customHeight="1">
      <c r="A2896" s="605"/>
      <c r="B2896" s="568"/>
    </row>
    <row r="2897" spans="1:2" ht="12" customHeight="1">
      <c r="A2897" s="605"/>
      <c r="B2897" s="568"/>
    </row>
    <row r="2898" spans="1:2" ht="12" customHeight="1">
      <c r="A2898" s="605"/>
      <c r="B2898" s="568"/>
    </row>
    <row r="2899" spans="1:2" ht="12" customHeight="1">
      <c r="A2899" s="605"/>
      <c r="B2899" s="568"/>
    </row>
    <row r="2900" spans="1:2" ht="12" customHeight="1">
      <c r="A2900" s="605"/>
      <c r="B2900" s="568"/>
    </row>
    <row r="2901" spans="1:2" ht="12" customHeight="1">
      <c r="A2901" s="605"/>
      <c r="B2901" s="568"/>
    </row>
    <row r="2902" spans="1:2" ht="12" customHeight="1">
      <c r="A2902" s="605"/>
      <c r="B2902" s="568"/>
    </row>
    <row r="2903" spans="1:2" ht="12" customHeight="1">
      <c r="A2903" s="605"/>
      <c r="B2903" s="568"/>
    </row>
    <row r="2904" spans="1:2" ht="12" customHeight="1">
      <c r="A2904" s="605"/>
      <c r="B2904" s="568"/>
    </row>
    <row r="2905" spans="1:2" ht="12" customHeight="1">
      <c r="A2905" s="605"/>
      <c r="B2905" s="568"/>
    </row>
    <row r="2906" spans="1:2" ht="12" customHeight="1">
      <c r="A2906" s="605"/>
      <c r="B2906" s="568"/>
    </row>
    <row r="2907" spans="1:2" ht="12" customHeight="1">
      <c r="A2907" s="605"/>
      <c r="B2907" s="568"/>
    </row>
    <row r="2908" spans="1:2" ht="12" customHeight="1">
      <c r="A2908" s="605"/>
      <c r="B2908" s="568"/>
    </row>
    <row r="2909" spans="1:2" ht="12" customHeight="1">
      <c r="A2909" s="605"/>
      <c r="B2909" s="568"/>
    </row>
    <row r="2910" spans="1:2" ht="12" customHeight="1">
      <c r="A2910" s="605"/>
      <c r="B2910" s="568"/>
    </row>
    <row r="2911" spans="1:2" ht="12" customHeight="1">
      <c r="A2911" s="605"/>
      <c r="B2911" s="568"/>
    </row>
    <row r="2912" spans="1:2" ht="12" customHeight="1">
      <c r="A2912" s="605"/>
      <c r="B2912" s="568"/>
    </row>
    <row r="2913" spans="1:2" ht="12" customHeight="1">
      <c r="A2913" s="605"/>
      <c r="B2913" s="568"/>
    </row>
    <row r="2914" spans="1:2" ht="12" customHeight="1">
      <c r="A2914" s="605"/>
      <c r="B2914" s="568"/>
    </row>
    <row r="2915" spans="1:2" ht="12" customHeight="1">
      <c r="A2915" s="605"/>
      <c r="B2915" s="568"/>
    </row>
    <row r="2916" spans="1:2" ht="12" customHeight="1">
      <c r="A2916" s="605"/>
      <c r="B2916" s="568"/>
    </row>
    <row r="2917" spans="1:2" ht="12" customHeight="1">
      <c r="A2917" s="605"/>
      <c r="B2917" s="568"/>
    </row>
    <row r="2918" spans="1:2" ht="12" customHeight="1">
      <c r="A2918" s="605"/>
      <c r="B2918" s="568"/>
    </row>
    <row r="2919" spans="1:2" ht="12" customHeight="1">
      <c r="A2919" s="605"/>
      <c r="B2919" s="568"/>
    </row>
    <row r="2920" spans="1:2" ht="12" customHeight="1">
      <c r="A2920" s="605"/>
      <c r="B2920" s="568"/>
    </row>
    <row r="2921" spans="1:2" ht="12" customHeight="1">
      <c r="A2921" s="605"/>
      <c r="B2921" s="568"/>
    </row>
    <row r="2922" spans="1:2" ht="12" customHeight="1">
      <c r="A2922" s="605"/>
      <c r="B2922" s="568"/>
    </row>
    <row r="2923" spans="1:2" ht="12" customHeight="1">
      <c r="A2923" s="605"/>
      <c r="B2923" s="568"/>
    </row>
    <row r="2924" spans="1:2" ht="12" customHeight="1">
      <c r="A2924" s="605"/>
      <c r="B2924" s="568"/>
    </row>
    <row r="2925" spans="1:2" ht="12" customHeight="1">
      <c r="A2925" s="605"/>
      <c r="B2925" s="568"/>
    </row>
    <row r="2926" spans="1:2" ht="12" customHeight="1">
      <c r="A2926" s="605"/>
      <c r="B2926" s="568"/>
    </row>
    <row r="2927" spans="1:2" ht="12" customHeight="1">
      <c r="A2927" s="605"/>
      <c r="B2927" s="568"/>
    </row>
    <row r="2928" spans="1:2" ht="12" customHeight="1">
      <c r="A2928" s="605"/>
      <c r="B2928" s="568"/>
    </row>
    <row r="2929" spans="1:2" ht="12" customHeight="1">
      <c r="A2929" s="605"/>
      <c r="B2929" s="568"/>
    </row>
    <row r="2930" spans="1:2" ht="12" customHeight="1">
      <c r="A2930" s="605"/>
      <c r="B2930" s="568"/>
    </row>
    <row r="2931" spans="1:2" ht="12" customHeight="1">
      <c r="A2931" s="605"/>
      <c r="B2931" s="568"/>
    </row>
    <row r="2932" spans="1:2" ht="12" customHeight="1">
      <c r="A2932" s="605"/>
      <c r="B2932" s="568"/>
    </row>
    <row r="2933" spans="1:2" ht="12" customHeight="1">
      <c r="A2933" s="605"/>
      <c r="B2933" s="568"/>
    </row>
    <row r="2934" spans="1:2" ht="12" customHeight="1">
      <c r="A2934" s="605"/>
      <c r="B2934" s="568"/>
    </row>
    <row r="2935" spans="1:2" ht="12" customHeight="1">
      <c r="A2935" s="605"/>
      <c r="B2935" s="568"/>
    </row>
    <row r="2936" spans="1:2" ht="12" customHeight="1">
      <c r="A2936" s="605"/>
      <c r="B2936" s="568"/>
    </row>
    <row r="2937" spans="1:2" ht="12" customHeight="1">
      <c r="A2937" s="605"/>
      <c r="B2937" s="568"/>
    </row>
    <row r="2938" spans="1:2" ht="12" customHeight="1">
      <c r="A2938" s="605"/>
      <c r="B2938" s="568"/>
    </row>
    <row r="2939" spans="1:2" ht="12" customHeight="1">
      <c r="A2939" s="605"/>
      <c r="B2939" s="568"/>
    </row>
    <row r="2940" spans="1:2" ht="12" customHeight="1">
      <c r="A2940" s="605"/>
      <c r="B2940" s="568"/>
    </row>
    <row r="2941" spans="1:2" ht="12" customHeight="1">
      <c r="A2941" s="605"/>
      <c r="B2941" s="568"/>
    </row>
    <row r="2942" spans="1:2" ht="12" customHeight="1">
      <c r="A2942" s="605"/>
      <c r="B2942" s="568"/>
    </row>
    <row r="2943" spans="1:2" ht="12" customHeight="1">
      <c r="A2943" s="605"/>
      <c r="B2943" s="568"/>
    </row>
    <row r="2944" spans="1:2" ht="12" customHeight="1">
      <c r="A2944" s="605"/>
      <c r="B2944" s="568"/>
    </row>
    <row r="2945" spans="1:2" ht="12" customHeight="1">
      <c r="A2945" s="605"/>
      <c r="B2945" s="568"/>
    </row>
    <row r="2946" spans="1:2" ht="12" customHeight="1">
      <c r="A2946" s="605"/>
      <c r="B2946" s="568"/>
    </row>
    <row r="2947" spans="1:2" ht="12" customHeight="1">
      <c r="A2947" s="605"/>
      <c r="B2947" s="568"/>
    </row>
    <row r="2948" spans="1:2" ht="12" customHeight="1">
      <c r="A2948" s="605"/>
      <c r="B2948" s="568"/>
    </row>
    <row r="2949" spans="1:2" ht="12" customHeight="1">
      <c r="A2949" s="605"/>
      <c r="B2949" s="568"/>
    </row>
    <row r="2950" spans="1:2" ht="12" customHeight="1">
      <c r="A2950" s="605"/>
      <c r="B2950" s="568"/>
    </row>
    <row r="2951" spans="1:2" ht="12" customHeight="1">
      <c r="A2951" s="605"/>
      <c r="B2951" s="568"/>
    </row>
    <row r="2952" spans="1:2" ht="12" customHeight="1">
      <c r="A2952" s="605"/>
      <c r="B2952" s="568"/>
    </row>
    <row r="2953" spans="1:2" ht="12" customHeight="1">
      <c r="A2953" s="605"/>
      <c r="B2953" s="568"/>
    </row>
    <row r="2954" spans="1:2" ht="12" customHeight="1">
      <c r="A2954" s="605"/>
      <c r="B2954" s="568"/>
    </row>
    <row r="2955" spans="1:2" ht="12" customHeight="1">
      <c r="A2955" s="605"/>
      <c r="B2955" s="568"/>
    </row>
    <row r="2956" spans="1:2" ht="12" customHeight="1">
      <c r="A2956" s="605"/>
      <c r="B2956" s="568"/>
    </row>
    <row r="2957" spans="1:2" ht="12" customHeight="1">
      <c r="A2957" s="605"/>
      <c r="B2957" s="568"/>
    </row>
    <row r="2958" spans="1:2" ht="12" customHeight="1">
      <c r="A2958" s="605"/>
      <c r="B2958" s="568"/>
    </row>
    <row r="2959" spans="1:2" ht="12" customHeight="1">
      <c r="A2959" s="605"/>
      <c r="B2959" s="568"/>
    </row>
    <row r="2960" spans="1:2" ht="12" customHeight="1">
      <c r="A2960" s="605"/>
      <c r="B2960" s="568"/>
    </row>
    <row r="2961" spans="1:2" ht="12" customHeight="1">
      <c r="A2961" s="605"/>
      <c r="B2961" s="568"/>
    </row>
    <row r="2962" spans="1:2" ht="12" customHeight="1">
      <c r="A2962" s="605"/>
      <c r="B2962" s="568"/>
    </row>
    <row r="2963" spans="1:2" ht="12" customHeight="1">
      <c r="A2963" s="605"/>
      <c r="B2963" s="568"/>
    </row>
    <row r="2964" spans="1:2" ht="12" customHeight="1">
      <c r="A2964" s="605"/>
      <c r="B2964" s="568"/>
    </row>
    <row r="2965" spans="1:2" ht="12" customHeight="1">
      <c r="A2965" s="605"/>
      <c r="B2965" s="568"/>
    </row>
    <row r="2966" spans="1:2" ht="12" customHeight="1">
      <c r="A2966" s="605"/>
      <c r="B2966" s="568"/>
    </row>
    <row r="2967" spans="1:2" ht="12" customHeight="1">
      <c r="A2967" s="605"/>
      <c r="B2967" s="568"/>
    </row>
    <row r="2968" spans="1:2" ht="12" customHeight="1">
      <c r="A2968" s="605"/>
      <c r="B2968" s="568"/>
    </row>
    <row r="2969" spans="1:2" ht="12" customHeight="1">
      <c r="A2969" s="605"/>
      <c r="B2969" s="568"/>
    </row>
    <row r="2970" spans="1:2" ht="12" customHeight="1">
      <c r="A2970" s="605"/>
      <c r="B2970" s="568"/>
    </row>
    <row r="2971" spans="1:2" ht="12" customHeight="1">
      <c r="A2971" s="605"/>
      <c r="B2971" s="568"/>
    </row>
    <row r="2972" spans="1:2" ht="12" customHeight="1">
      <c r="A2972" s="605"/>
      <c r="B2972" s="568"/>
    </row>
    <row r="2973" spans="1:2" ht="12" customHeight="1">
      <c r="A2973" s="605"/>
      <c r="B2973" s="568"/>
    </row>
    <row r="2974" spans="1:2" ht="12" customHeight="1">
      <c r="A2974" s="605"/>
      <c r="B2974" s="568"/>
    </row>
    <row r="2975" spans="1:2" ht="12" customHeight="1">
      <c r="A2975" s="605"/>
      <c r="B2975" s="568"/>
    </row>
    <row r="2976" spans="1:2" ht="12" customHeight="1">
      <c r="A2976" s="605"/>
      <c r="B2976" s="568"/>
    </row>
    <row r="2977" spans="1:2" ht="12" customHeight="1">
      <c r="A2977" s="605"/>
      <c r="B2977" s="568"/>
    </row>
    <row r="2978" spans="1:2" ht="12" customHeight="1">
      <c r="A2978" s="605"/>
      <c r="B2978" s="568"/>
    </row>
    <row r="2979" spans="1:2" ht="12" customHeight="1">
      <c r="A2979" s="605"/>
      <c r="B2979" s="568"/>
    </row>
    <row r="2980" spans="1:2" ht="12" customHeight="1">
      <c r="A2980" s="605"/>
      <c r="B2980" s="568"/>
    </row>
    <row r="2981" spans="1:2" ht="12" customHeight="1">
      <c r="A2981" s="605"/>
      <c r="B2981" s="568"/>
    </row>
    <row r="2982" spans="1:2" ht="12" customHeight="1">
      <c r="A2982" s="605"/>
      <c r="B2982" s="568"/>
    </row>
    <row r="2983" spans="1:2" ht="12" customHeight="1">
      <c r="A2983" s="605"/>
      <c r="B2983" s="568"/>
    </row>
    <row r="2984" spans="1:2" ht="12" customHeight="1">
      <c r="A2984" s="605"/>
      <c r="B2984" s="568"/>
    </row>
    <row r="2985" spans="1:2" ht="12" customHeight="1">
      <c r="A2985" s="605"/>
      <c r="B2985" s="568"/>
    </row>
    <row r="2986" spans="1:2" ht="12" customHeight="1">
      <c r="A2986" s="605"/>
      <c r="B2986" s="568"/>
    </row>
    <row r="2987" spans="1:2" ht="12" customHeight="1">
      <c r="A2987" s="605"/>
      <c r="B2987" s="568"/>
    </row>
    <row r="2988" spans="1:2" ht="12" customHeight="1">
      <c r="A2988" s="605"/>
      <c r="B2988" s="568"/>
    </row>
    <row r="2989" spans="1:2" ht="12" customHeight="1">
      <c r="A2989" s="605"/>
      <c r="B2989" s="568"/>
    </row>
    <row r="2990" spans="1:2" ht="12" customHeight="1">
      <c r="A2990" s="605"/>
      <c r="B2990" s="568"/>
    </row>
    <row r="2991" spans="1:2" ht="12" customHeight="1">
      <c r="A2991" s="605"/>
      <c r="B2991" s="568"/>
    </row>
    <row r="2992" spans="1:2" ht="12" customHeight="1">
      <c r="A2992" s="605"/>
      <c r="B2992" s="568"/>
    </row>
    <row r="2993" spans="1:2" ht="12" customHeight="1">
      <c r="A2993" s="605"/>
      <c r="B2993" s="568"/>
    </row>
    <row r="2994" spans="1:2" ht="12" customHeight="1">
      <c r="A2994" s="605"/>
      <c r="B2994" s="568"/>
    </row>
    <row r="2995" spans="1:2" ht="12" customHeight="1">
      <c r="A2995" s="605"/>
      <c r="B2995" s="568"/>
    </row>
    <row r="2996" spans="1:2" ht="12" customHeight="1">
      <c r="A2996" s="605"/>
      <c r="B2996" s="568"/>
    </row>
    <row r="2997" spans="1:2" ht="12" customHeight="1">
      <c r="A2997" s="605"/>
      <c r="B2997" s="568"/>
    </row>
    <row r="2998" spans="1:2" ht="12" customHeight="1">
      <c r="A2998" s="605"/>
      <c r="B2998" s="568"/>
    </row>
    <row r="2999" spans="1:2" ht="12" customHeight="1">
      <c r="A2999" s="605"/>
      <c r="B2999" s="568"/>
    </row>
    <row r="3000" spans="1:2" ht="12" customHeight="1">
      <c r="A3000" s="605"/>
      <c r="B3000" s="568"/>
    </row>
    <row r="3001" spans="1:2" ht="12" customHeight="1">
      <c r="A3001" s="605"/>
      <c r="B3001" s="568"/>
    </row>
    <row r="3002" spans="1:2" ht="12" customHeight="1">
      <c r="A3002" s="605"/>
      <c r="B3002" s="568"/>
    </row>
    <row r="3003" spans="1:2" ht="12" customHeight="1">
      <c r="A3003" s="605"/>
      <c r="B3003" s="568"/>
    </row>
    <row r="3004" spans="1:2" ht="12" customHeight="1">
      <c r="A3004" s="605"/>
      <c r="B3004" s="568"/>
    </row>
    <row r="3005" spans="1:2" ht="12" customHeight="1">
      <c r="A3005" s="605"/>
      <c r="B3005" s="568"/>
    </row>
    <row r="3006" spans="1:2" ht="12" customHeight="1">
      <c r="A3006" s="605"/>
      <c r="B3006" s="568"/>
    </row>
    <row r="3007" spans="1:2" ht="12" customHeight="1">
      <c r="A3007" s="605"/>
      <c r="B3007" s="568"/>
    </row>
    <row r="3008" spans="1:2" ht="12" customHeight="1">
      <c r="A3008" s="605"/>
      <c r="B3008" s="568"/>
    </row>
    <row r="3009" spans="1:2" ht="12" customHeight="1">
      <c r="A3009" s="605"/>
      <c r="B3009" s="568"/>
    </row>
    <row r="3010" spans="1:2" ht="12" customHeight="1">
      <c r="A3010" s="605"/>
      <c r="B3010" s="568"/>
    </row>
    <row r="3011" spans="1:2" ht="12" customHeight="1">
      <c r="A3011" s="605"/>
      <c r="B3011" s="568"/>
    </row>
    <row r="3012" spans="1:2" ht="12" customHeight="1">
      <c r="A3012" s="605"/>
      <c r="B3012" s="568"/>
    </row>
    <row r="3013" spans="1:2" ht="12" customHeight="1">
      <c r="A3013" s="605"/>
      <c r="B3013" s="568"/>
    </row>
    <row r="3014" spans="1:2" ht="12" customHeight="1">
      <c r="A3014" s="605"/>
      <c r="B3014" s="568"/>
    </row>
    <row r="3015" spans="1:2" ht="12" customHeight="1">
      <c r="A3015" s="605"/>
      <c r="B3015" s="568"/>
    </row>
    <row r="3016" spans="1:2" ht="12" customHeight="1">
      <c r="A3016" s="605"/>
      <c r="B3016" s="568"/>
    </row>
    <row r="3017" spans="1:2" ht="12" customHeight="1">
      <c r="A3017" s="605"/>
      <c r="B3017" s="568"/>
    </row>
    <row r="3018" spans="1:2" ht="12" customHeight="1">
      <c r="A3018" s="605"/>
      <c r="B3018" s="568"/>
    </row>
    <row r="3019" spans="1:2" ht="12" customHeight="1">
      <c r="A3019" s="605"/>
      <c r="B3019" s="568"/>
    </row>
    <row r="3020" spans="1:2" ht="12" customHeight="1">
      <c r="A3020" s="605"/>
      <c r="B3020" s="568"/>
    </row>
    <row r="3021" spans="1:2" ht="12" customHeight="1">
      <c r="A3021" s="605"/>
      <c r="B3021" s="568"/>
    </row>
    <row r="3022" spans="1:2" ht="12" customHeight="1">
      <c r="A3022" s="605"/>
      <c r="B3022" s="568"/>
    </row>
    <row r="3023" spans="1:2" ht="12" customHeight="1">
      <c r="A3023" s="605"/>
      <c r="B3023" s="568"/>
    </row>
    <row r="3024" spans="1:2" ht="12" customHeight="1">
      <c r="A3024" s="605"/>
      <c r="B3024" s="568"/>
    </row>
    <row r="3025" spans="1:2" ht="12" customHeight="1">
      <c r="A3025" s="605"/>
      <c r="B3025" s="568"/>
    </row>
    <row r="3026" spans="1:2" ht="12" customHeight="1">
      <c r="A3026" s="605"/>
      <c r="B3026" s="568"/>
    </row>
    <row r="3027" spans="1:2" ht="12" customHeight="1">
      <c r="A3027" s="605"/>
      <c r="B3027" s="568"/>
    </row>
    <row r="3028" spans="1:2" ht="12" customHeight="1">
      <c r="A3028" s="605"/>
      <c r="B3028" s="568"/>
    </row>
    <row r="3029" spans="1:2" ht="12" customHeight="1">
      <c r="A3029" s="605"/>
      <c r="B3029" s="568"/>
    </row>
    <row r="3030" spans="1:2" ht="12" customHeight="1">
      <c r="A3030" s="605"/>
      <c r="B3030" s="568"/>
    </row>
    <row r="3031" spans="1:2" ht="12" customHeight="1">
      <c r="A3031" s="605"/>
      <c r="B3031" s="568"/>
    </row>
    <row r="3032" spans="1:2" ht="12" customHeight="1">
      <c r="A3032" s="605"/>
      <c r="B3032" s="568"/>
    </row>
    <row r="3033" spans="1:2" ht="12" customHeight="1">
      <c r="A3033" s="605"/>
      <c r="B3033" s="568"/>
    </row>
    <row r="3034" spans="1:2" ht="12" customHeight="1">
      <c r="A3034" s="605"/>
      <c r="B3034" s="568"/>
    </row>
    <row r="3035" spans="1:2" ht="12" customHeight="1">
      <c r="A3035" s="605"/>
      <c r="B3035" s="568"/>
    </row>
    <row r="3036" spans="1:2" ht="12" customHeight="1">
      <c r="A3036" s="605"/>
      <c r="B3036" s="568"/>
    </row>
    <row r="3037" spans="1:2" ht="12" customHeight="1">
      <c r="A3037" s="605"/>
      <c r="B3037" s="568"/>
    </row>
    <row r="3038" spans="1:2" ht="12" customHeight="1">
      <c r="A3038" s="605"/>
      <c r="B3038" s="568"/>
    </row>
    <row r="3039" spans="1:2" ht="12" customHeight="1">
      <c r="A3039" s="605"/>
      <c r="B3039" s="568"/>
    </row>
    <row r="3040" spans="1:2" ht="12" customHeight="1">
      <c r="A3040" s="605"/>
      <c r="B3040" s="568"/>
    </row>
    <row r="3041" spans="1:2" ht="12" customHeight="1">
      <c r="A3041" s="605"/>
      <c r="B3041" s="568"/>
    </row>
    <row r="3042" spans="1:2" ht="12" customHeight="1">
      <c r="A3042" s="605"/>
      <c r="B3042" s="568"/>
    </row>
    <row r="3043" spans="1:2" ht="12" customHeight="1">
      <c r="A3043" s="605"/>
      <c r="B3043" s="568"/>
    </row>
    <row r="3044" spans="1:2" ht="12" customHeight="1">
      <c r="A3044" s="605"/>
      <c r="B3044" s="568"/>
    </row>
    <row r="3045" spans="1:2" ht="12" customHeight="1">
      <c r="A3045" s="605"/>
      <c r="B3045" s="568"/>
    </row>
    <row r="3046" spans="1:2" ht="12" customHeight="1">
      <c r="A3046" s="605"/>
      <c r="B3046" s="568"/>
    </row>
    <row r="3047" spans="1:2" ht="12" customHeight="1">
      <c r="A3047" s="605"/>
      <c r="B3047" s="568"/>
    </row>
    <row r="3048" spans="1:2" ht="12" customHeight="1">
      <c r="A3048" s="605"/>
      <c r="B3048" s="568"/>
    </row>
    <row r="3049" spans="1:2" ht="12" customHeight="1">
      <c r="A3049" s="605"/>
      <c r="B3049" s="568"/>
    </row>
    <row r="3050" spans="1:2" ht="12" customHeight="1">
      <c r="A3050" s="605"/>
      <c r="B3050" s="568"/>
    </row>
    <row r="3051" spans="1:2" ht="12" customHeight="1">
      <c r="A3051" s="605"/>
      <c r="B3051" s="568"/>
    </row>
    <row r="3052" spans="1:2" ht="12" customHeight="1">
      <c r="A3052" s="605"/>
      <c r="B3052" s="568"/>
    </row>
    <row r="3053" spans="1:2" ht="12" customHeight="1">
      <c r="A3053" s="605"/>
      <c r="B3053" s="568"/>
    </row>
    <row r="3054" spans="1:2" ht="12" customHeight="1">
      <c r="A3054" s="605"/>
      <c r="B3054" s="568"/>
    </row>
    <row r="3055" spans="1:2" ht="12" customHeight="1">
      <c r="A3055" s="605"/>
      <c r="B3055" s="568"/>
    </row>
    <row r="3056" spans="1:2" ht="12" customHeight="1">
      <c r="A3056" s="605"/>
      <c r="B3056" s="568"/>
    </row>
    <row r="3057" spans="1:2" ht="12" customHeight="1">
      <c r="A3057" s="605"/>
      <c r="B3057" s="568"/>
    </row>
    <row r="3058" spans="1:2" ht="12" customHeight="1">
      <c r="A3058" s="605"/>
      <c r="B3058" s="568"/>
    </row>
    <row r="3059" spans="1:2" ht="12" customHeight="1">
      <c r="A3059" s="605"/>
      <c r="B3059" s="568"/>
    </row>
    <row r="3060" spans="1:2" ht="12" customHeight="1">
      <c r="A3060" s="605"/>
      <c r="B3060" s="568"/>
    </row>
    <row r="3061" spans="1:2" ht="12" customHeight="1">
      <c r="A3061" s="605"/>
      <c r="B3061" s="568"/>
    </row>
    <row r="3062" spans="1:2" ht="12" customHeight="1">
      <c r="A3062" s="605"/>
      <c r="B3062" s="568"/>
    </row>
    <row r="3063" spans="1:2" ht="12" customHeight="1">
      <c r="A3063" s="605"/>
      <c r="B3063" s="568"/>
    </row>
    <row r="3064" spans="1:2" ht="12" customHeight="1">
      <c r="A3064" s="605"/>
      <c r="B3064" s="568"/>
    </row>
    <row r="3065" spans="1:2" ht="12" customHeight="1">
      <c r="A3065" s="605"/>
      <c r="B3065" s="568"/>
    </row>
    <row r="3066" spans="1:2" ht="12" customHeight="1">
      <c r="A3066" s="605"/>
      <c r="B3066" s="568"/>
    </row>
    <row r="3067" spans="1:2" ht="12" customHeight="1">
      <c r="A3067" s="605"/>
      <c r="B3067" s="568"/>
    </row>
    <row r="3068" spans="1:2" ht="12" customHeight="1">
      <c r="A3068" s="605"/>
      <c r="B3068" s="568"/>
    </row>
    <row r="3069" spans="1:2" ht="12" customHeight="1">
      <c r="A3069" s="605"/>
      <c r="B3069" s="568"/>
    </row>
    <row r="3070" spans="1:2" ht="12" customHeight="1">
      <c r="A3070" s="605"/>
      <c r="B3070" s="568"/>
    </row>
    <row r="3071" spans="1:2" ht="12" customHeight="1">
      <c r="A3071" s="605"/>
      <c r="B3071" s="568"/>
    </row>
    <row r="3072" spans="1:2" ht="12" customHeight="1">
      <c r="A3072" s="605"/>
      <c r="B3072" s="568"/>
    </row>
    <row r="3073" spans="1:2" ht="12" customHeight="1">
      <c r="A3073" s="605"/>
      <c r="B3073" s="568"/>
    </row>
    <row r="3074" spans="1:2" ht="12" customHeight="1">
      <c r="A3074" s="605"/>
      <c r="B3074" s="568"/>
    </row>
    <row r="3075" spans="1:2" ht="12" customHeight="1">
      <c r="A3075" s="605"/>
      <c r="B3075" s="568"/>
    </row>
    <row r="3076" spans="1:2" ht="12" customHeight="1">
      <c r="A3076" s="605"/>
      <c r="B3076" s="568"/>
    </row>
    <row r="3077" spans="1:2" ht="12" customHeight="1">
      <c r="A3077" s="605"/>
      <c r="B3077" s="568"/>
    </row>
    <row r="3078" spans="1:2" ht="12" customHeight="1">
      <c r="A3078" s="605"/>
      <c r="B3078" s="568"/>
    </row>
    <row r="3079" spans="1:2" ht="12" customHeight="1">
      <c r="A3079" s="605"/>
      <c r="B3079" s="568"/>
    </row>
    <row r="3080" spans="1:2" ht="12" customHeight="1">
      <c r="A3080" s="605"/>
      <c r="B3080" s="568"/>
    </row>
    <row r="3081" spans="1:2" ht="12" customHeight="1">
      <c r="A3081" s="605"/>
      <c r="B3081" s="568"/>
    </row>
    <row r="3082" spans="1:2" ht="12" customHeight="1">
      <c r="A3082" s="605"/>
      <c r="B3082" s="568"/>
    </row>
    <row r="3083" spans="1:2" ht="12" customHeight="1">
      <c r="A3083" s="605"/>
      <c r="B3083" s="568"/>
    </row>
    <row r="3084" spans="1:2" ht="12" customHeight="1">
      <c r="A3084" s="605"/>
      <c r="B3084" s="568"/>
    </row>
    <row r="3085" spans="1:2" ht="12" customHeight="1">
      <c r="A3085" s="605"/>
      <c r="B3085" s="568"/>
    </row>
    <row r="3086" spans="1:2" ht="12" customHeight="1">
      <c r="A3086" s="605"/>
      <c r="B3086" s="568"/>
    </row>
    <row r="3087" spans="1:2" ht="12" customHeight="1">
      <c r="A3087" s="605"/>
      <c r="B3087" s="568"/>
    </row>
    <row r="3088" spans="1:2" ht="12" customHeight="1">
      <c r="A3088" s="605"/>
      <c r="B3088" s="568"/>
    </row>
    <row r="3089" spans="1:2" ht="12" customHeight="1">
      <c r="A3089" s="605"/>
      <c r="B3089" s="568"/>
    </row>
    <row r="3090" spans="1:2" ht="12" customHeight="1">
      <c r="A3090" s="605"/>
      <c r="B3090" s="568"/>
    </row>
    <row r="3091" spans="1:2" ht="12" customHeight="1">
      <c r="A3091" s="605"/>
      <c r="B3091" s="568"/>
    </row>
    <row r="3092" spans="1:2" ht="12" customHeight="1">
      <c r="A3092" s="605"/>
      <c r="B3092" s="568"/>
    </row>
    <row r="3093" spans="1:2" ht="12" customHeight="1">
      <c r="A3093" s="605"/>
      <c r="B3093" s="568"/>
    </row>
    <row r="3094" spans="1:2" ht="12" customHeight="1">
      <c r="A3094" s="605"/>
      <c r="B3094" s="568"/>
    </row>
    <row r="3095" spans="1:2" ht="12" customHeight="1">
      <c r="A3095" s="605"/>
      <c r="B3095" s="568"/>
    </row>
    <row r="3096" spans="1:2" ht="12" customHeight="1">
      <c r="A3096" s="605"/>
      <c r="B3096" s="568"/>
    </row>
    <row r="3097" spans="1:2" ht="12" customHeight="1">
      <c r="A3097" s="605"/>
      <c r="B3097" s="568"/>
    </row>
    <row r="3098" spans="1:2" ht="12" customHeight="1">
      <c r="A3098" s="605"/>
      <c r="B3098" s="568"/>
    </row>
    <row r="3099" spans="1:2" ht="12" customHeight="1">
      <c r="A3099" s="605"/>
      <c r="B3099" s="568"/>
    </row>
    <row r="3100" spans="1:2" ht="12" customHeight="1">
      <c r="A3100" s="605"/>
      <c r="B3100" s="568"/>
    </row>
    <row r="3101" spans="1:2" ht="12" customHeight="1">
      <c r="A3101" s="605"/>
      <c r="B3101" s="568"/>
    </row>
    <row r="3102" spans="1:2" ht="12" customHeight="1">
      <c r="A3102" s="605"/>
      <c r="B3102" s="568"/>
    </row>
    <row r="3103" spans="1:2" ht="12" customHeight="1">
      <c r="A3103" s="605"/>
      <c r="B3103" s="568"/>
    </row>
    <row r="3104" spans="1:2" ht="12" customHeight="1">
      <c r="A3104" s="605"/>
      <c r="B3104" s="568"/>
    </row>
    <row r="3105" spans="1:2" ht="12" customHeight="1">
      <c r="A3105" s="605"/>
      <c r="B3105" s="568"/>
    </row>
    <row r="3106" spans="1:2" ht="12" customHeight="1">
      <c r="A3106" s="605"/>
      <c r="B3106" s="568"/>
    </row>
    <row r="3107" spans="1:2" ht="12" customHeight="1">
      <c r="A3107" s="605"/>
      <c r="B3107" s="568"/>
    </row>
    <row r="3108" spans="1:2" ht="12" customHeight="1">
      <c r="A3108" s="605"/>
      <c r="B3108" s="568"/>
    </row>
    <row r="3109" spans="1:2" ht="12" customHeight="1">
      <c r="A3109" s="605"/>
      <c r="B3109" s="568"/>
    </row>
    <row r="3110" spans="1:2" ht="12" customHeight="1">
      <c r="A3110" s="605"/>
      <c r="B3110" s="568"/>
    </row>
    <row r="3111" spans="1:2" ht="12" customHeight="1">
      <c r="A3111" s="605"/>
      <c r="B3111" s="568"/>
    </row>
    <row r="3112" spans="1:2" ht="12" customHeight="1">
      <c r="A3112" s="605"/>
      <c r="B3112" s="568"/>
    </row>
    <row r="3113" spans="1:2" ht="12" customHeight="1">
      <c r="A3113" s="605"/>
      <c r="B3113" s="568"/>
    </row>
    <row r="3114" spans="1:2" ht="12" customHeight="1">
      <c r="A3114" s="605"/>
      <c r="B3114" s="568"/>
    </row>
    <row r="3115" spans="1:2" ht="12" customHeight="1">
      <c r="A3115" s="605"/>
      <c r="B3115" s="568"/>
    </row>
    <row r="3116" spans="1:2" ht="12" customHeight="1">
      <c r="A3116" s="605"/>
      <c r="B3116" s="568"/>
    </row>
    <row r="3117" spans="1:2" ht="12" customHeight="1">
      <c r="A3117" s="605"/>
      <c r="B3117" s="568"/>
    </row>
    <row r="3118" spans="1:2" ht="12" customHeight="1">
      <c r="A3118" s="605"/>
      <c r="B3118" s="568"/>
    </row>
    <row r="3119" spans="1:2" ht="12" customHeight="1">
      <c r="A3119" s="605"/>
      <c r="B3119" s="568"/>
    </row>
    <row r="3120" spans="1:2" ht="12" customHeight="1">
      <c r="A3120" s="605"/>
      <c r="B3120" s="568"/>
    </row>
    <row r="3121" spans="1:2" ht="12" customHeight="1">
      <c r="A3121" s="605"/>
      <c r="B3121" s="568"/>
    </row>
    <row r="3122" spans="1:2" ht="12" customHeight="1">
      <c r="A3122" s="605"/>
      <c r="B3122" s="568"/>
    </row>
    <row r="3123" spans="1:2" ht="12" customHeight="1">
      <c r="A3123" s="605"/>
      <c r="B3123" s="568"/>
    </row>
    <row r="3124" spans="1:2" ht="12" customHeight="1">
      <c r="A3124" s="605"/>
      <c r="B3124" s="568"/>
    </row>
    <row r="3125" spans="1:2" ht="12" customHeight="1">
      <c r="A3125" s="605"/>
      <c r="B3125" s="568"/>
    </row>
    <row r="3126" spans="1:2" ht="12" customHeight="1">
      <c r="A3126" s="605"/>
      <c r="B3126" s="568"/>
    </row>
    <row r="3127" spans="1:2" ht="12" customHeight="1">
      <c r="A3127" s="605"/>
      <c r="B3127" s="568"/>
    </row>
    <row r="3128" spans="1:2" ht="12" customHeight="1">
      <c r="A3128" s="605"/>
      <c r="B3128" s="568"/>
    </row>
    <row r="3129" spans="1:2" ht="12" customHeight="1">
      <c r="A3129" s="605"/>
      <c r="B3129" s="568"/>
    </row>
    <row r="3130" spans="1:2" ht="12" customHeight="1">
      <c r="A3130" s="605"/>
      <c r="B3130" s="568"/>
    </row>
    <row r="3131" spans="1:2" ht="12" customHeight="1">
      <c r="A3131" s="605"/>
      <c r="B3131" s="568"/>
    </row>
    <row r="3132" spans="1:2" ht="12" customHeight="1">
      <c r="A3132" s="605"/>
      <c r="B3132" s="568"/>
    </row>
    <row r="3133" spans="1:2" ht="12" customHeight="1">
      <c r="A3133" s="605"/>
      <c r="B3133" s="568"/>
    </row>
    <row r="3134" spans="1:2" ht="12" customHeight="1">
      <c r="A3134" s="605"/>
      <c r="B3134" s="568"/>
    </row>
    <row r="3135" spans="1:2" ht="12" customHeight="1">
      <c r="A3135" s="605"/>
      <c r="B3135" s="568"/>
    </row>
    <row r="3136" spans="1:2" ht="12" customHeight="1">
      <c r="A3136" s="605"/>
      <c r="B3136" s="568"/>
    </row>
    <row r="3137" spans="1:2" ht="12" customHeight="1">
      <c r="A3137" s="605"/>
      <c r="B3137" s="568"/>
    </row>
    <row r="3138" spans="1:2" ht="12" customHeight="1">
      <c r="A3138" s="605"/>
      <c r="B3138" s="568"/>
    </row>
    <row r="3139" spans="1:2" ht="12" customHeight="1">
      <c r="A3139" s="605"/>
      <c r="B3139" s="568"/>
    </row>
    <row r="3140" spans="1:2" ht="12" customHeight="1">
      <c r="A3140" s="605"/>
      <c r="B3140" s="568"/>
    </row>
    <row r="3141" spans="1:2" ht="12" customHeight="1">
      <c r="A3141" s="605"/>
      <c r="B3141" s="568"/>
    </row>
    <row r="3142" spans="1:2" ht="12" customHeight="1">
      <c r="A3142" s="605"/>
      <c r="B3142" s="568"/>
    </row>
    <row r="3143" spans="1:2" ht="12" customHeight="1">
      <c r="A3143" s="605"/>
      <c r="B3143" s="568"/>
    </row>
    <row r="3144" spans="1:2" ht="12" customHeight="1">
      <c r="A3144" s="605"/>
      <c r="B3144" s="568"/>
    </row>
    <row r="3145" spans="1:2" ht="12" customHeight="1">
      <c r="A3145" s="605"/>
      <c r="B3145" s="568"/>
    </row>
    <row r="3146" spans="1:2" ht="12" customHeight="1">
      <c r="A3146" s="605"/>
      <c r="B3146" s="568"/>
    </row>
    <row r="3147" spans="1:2" ht="12" customHeight="1">
      <c r="A3147" s="605"/>
      <c r="B3147" s="568"/>
    </row>
    <row r="3148" spans="1:2" ht="12" customHeight="1">
      <c r="A3148" s="605"/>
      <c r="B3148" s="568"/>
    </row>
    <row r="3149" spans="1:2" ht="12" customHeight="1">
      <c r="A3149" s="605"/>
      <c r="B3149" s="568"/>
    </row>
    <row r="3150" spans="1:2" ht="12" customHeight="1">
      <c r="A3150" s="605"/>
      <c r="B3150" s="568"/>
    </row>
    <row r="3151" spans="1:2" ht="12" customHeight="1">
      <c r="A3151" s="605"/>
      <c r="B3151" s="568"/>
    </row>
    <row r="3152" spans="1:2" ht="12" customHeight="1">
      <c r="A3152" s="605"/>
      <c r="B3152" s="568"/>
    </row>
    <row r="3153" spans="1:2" ht="12" customHeight="1">
      <c r="A3153" s="605"/>
      <c r="B3153" s="568"/>
    </row>
    <row r="3154" spans="1:2" ht="12" customHeight="1">
      <c r="A3154" s="605"/>
      <c r="B3154" s="568"/>
    </row>
    <row r="3155" spans="1:2" ht="12" customHeight="1">
      <c r="A3155" s="605"/>
      <c r="B3155" s="568"/>
    </row>
    <row r="3156" spans="1:2" ht="12" customHeight="1">
      <c r="A3156" s="605"/>
      <c r="B3156" s="568"/>
    </row>
    <row r="3157" spans="1:2" ht="12" customHeight="1">
      <c r="A3157" s="605"/>
      <c r="B3157" s="568"/>
    </row>
    <row r="3158" spans="1:2" ht="12" customHeight="1">
      <c r="A3158" s="605"/>
      <c r="B3158" s="568"/>
    </row>
    <row r="3159" spans="1:2" ht="12" customHeight="1">
      <c r="A3159" s="605"/>
      <c r="B3159" s="568"/>
    </row>
    <row r="3160" spans="1:2" ht="12" customHeight="1">
      <c r="A3160" s="605"/>
      <c r="B3160" s="568"/>
    </row>
    <row r="3161" spans="1:2" ht="12" customHeight="1">
      <c r="A3161" s="605"/>
      <c r="B3161" s="568"/>
    </row>
    <row r="3162" spans="1:2" ht="12" customHeight="1">
      <c r="A3162" s="605"/>
      <c r="B3162" s="568"/>
    </row>
    <row r="3163" spans="1:2" ht="12" customHeight="1">
      <c r="A3163" s="605"/>
      <c r="B3163" s="568"/>
    </row>
    <row r="3164" spans="1:2" ht="12" customHeight="1">
      <c r="A3164" s="605"/>
      <c r="B3164" s="568"/>
    </row>
    <row r="3165" spans="1:2" ht="12" customHeight="1">
      <c r="A3165" s="605"/>
      <c r="B3165" s="568"/>
    </row>
    <row r="3166" spans="1:2" ht="12" customHeight="1">
      <c r="A3166" s="605"/>
      <c r="B3166" s="568"/>
    </row>
    <row r="3167" spans="1:2" ht="12" customHeight="1">
      <c r="A3167" s="605"/>
      <c r="B3167" s="568"/>
    </row>
    <row r="3168" spans="1:2" ht="12" customHeight="1">
      <c r="A3168" s="605"/>
      <c r="B3168" s="568"/>
    </row>
    <row r="3169" spans="1:2" ht="12" customHeight="1">
      <c r="A3169" s="605"/>
      <c r="B3169" s="568"/>
    </row>
    <row r="3170" spans="1:2" ht="12" customHeight="1">
      <c r="A3170" s="605"/>
      <c r="B3170" s="568"/>
    </row>
    <row r="3171" spans="1:2" ht="12" customHeight="1">
      <c r="A3171" s="605"/>
      <c r="B3171" s="568"/>
    </row>
    <row r="3172" spans="1:2" ht="12" customHeight="1">
      <c r="A3172" s="605"/>
      <c r="B3172" s="568"/>
    </row>
    <row r="3173" spans="1:2" ht="12" customHeight="1">
      <c r="A3173" s="605"/>
      <c r="B3173" s="568"/>
    </row>
    <row r="3174" spans="1:2" ht="12" customHeight="1">
      <c r="A3174" s="605"/>
      <c r="B3174" s="568"/>
    </row>
    <row r="3175" spans="1:2" ht="12" customHeight="1">
      <c r="A3175" s="605"/>
      <c r="B3175" s="568"/>
    </row>
    <row r="3176" spans="1:2" ht="12" customHeight="1">
      <c r="A3176" s="605"/>
      <c r="B3176" s="568"/>
    </row>
    <row r="3177" spans="1:2" ht="12" customHeight="1">
      <c r="A3177" s="605"/>
      <c r="B3177" s="568"/>
    </row>
    <row r="3178" spans="1:2" ht="12" customHeight="1">
      <c r="A3178" s="605"/>
      <c r="B3178" s="568"/>
    </row>
    <row r="3179" spans="1:2" ht="12" customHeight="1">
      <c r="A3179" s="605"/>
      <c r="B3179" s="568"/>
    </row>
    <row r="3180" spans="1:2" ht="12" customHeight="1">
      <c r="A3180" s="605"/>
      <c r="B3180" s="568"/>
    </row>
    <row r="3181" spans="1:2" ht="12" customHeight="1">
      <c r="A3181" s="605"/>
      <c r="B3181" s="568"/>
    </row>
    <row r="3182" spans="1:2" ht="12" customHeight="1">
      <c r="A3182" s="605"/>
      <c r="B3182" s="568"/>
    </row>
    <row r="3183" spans="1:2" ht="12" customHeight="1">
      <c r="A3183" s="605"/>
      <c r="B3183" s="568"/>
    </row>
    <row r="3184" spans="1:2" ht="12" customHeight="1">
      <c r="A3184" s="605"/>
      <c r="B3184" s="568"/>
    </row>
    <row r="3185" spans="1:2" ht="12" customHeight="1">
      <c r="A3185" s="605"/>
      <c r="B3185" s="568"/>
    </row>
    <row r="3186" spans="1:2" ht="12" customHeight="1">
      <c r="A3186" s="605"/>
      <c r="B3186" s="568"/>
    </row>
    <row r="3187" spans="1:2" ht="12" customHeight="1">
      <c r="A3187" s="605"/>
      <c r="B3187" s="568"/>
    </row>
    <row r="3188" spans="1:2" ht="12" customHeight="1">
      <c r="A3188" s="605"/>
      <c r="B3188" s="568"/>
    </row>
    <row r="3189" spans="1:2" ht="12" customHeight="1">
      <c r="A3189" s="605"/>
      <c r="B3189" s="568"/>
    </row>
    <row r="3190" spans="1:2" ht="12" customHeight="1">
      <c r="A3190" s="605"/>
      <c r="B3190" s="568"/>
    </row>
    <row r="3191" spans="1:2" ht="12" customHeight="1">
      <c r="A3191" s="605"/>
      <c r="B3191" s="568"/>
    </row>
    <row r="3192" spans="1:2" ht="12" customHeight="1">
      <c r="A3192" s="605"/>
      <c r="B3192" s="568"/>
    </row>
    <row r="3193" spans="1:2" ht="12" customHeight="1">
      <c r="A3193" s="605"/>
      <c r="B3193" s="568"/>
    </row>
    <row r="3194" spans="1:2" ht="12" customHeight="1">
      <c r="A3194" s="605"/>
      <c r="B3194" s="568"/>
    </row>
    <row r="3195" spans="1:2" ht="12" customHeight="1">
      <c r="A3195" s="605"/>
      <c r="B3195" s="568"/>
    </row>
    <row r="3196" spans="1:2" ht="12" customHeight="1">
      <c r="A3196" s="605"/>
      <c r="B3196" s="568"/>
    </row>
    <row r="3197" spans="1:2" ht="12" customHeight="1">
      <c r="A3197" s="605"/>
      <c r="B3197" s="568"/>
    </row>
    <row r="3198" spans="1:2" ht="12" customHeight="1">
      <c r="A3198" s="605"/>
      <c r="B3198" s="568"/>
    </row>
    <row r="3199" spans="1:2" ht="12" customHeight="1">
      <c r="A3199" s="605"/>
      <c r="B3199" s="568"/>
    </row>
    <row r="3200" spans="1:2" ht="12" customHeight="1">
      <c r="A3200" s="605"/>
      <c r="B3200" s="568"/>
    </row>
    <row r="3201" spans="1:2" ht="12" customHeight="1">
      <c r="A3201" s="605"/>
      <c r="B3201" s="568"/>
    </row>
    <row r="3202" spans="1:2" ht="12" customHeight="1">
      <c r="A3202" s="605"/>
      <c r="B3202" s="568"/>
    </row>
    <row r="3203" spans="1:2" ht="12" customHeight="1">
      <c r="A3203" s="605"/>
      <c r="B3203" s="568"/>
    </row>
    <row r="3204" spans="1:2" ht="12" customHeight="1">
      <c r="A3204" s="605"/>
      <c r="B3204" s="568"/>
    </row>
    <row r="3205" spans="1:2" ht="12" customHeight="1">
      <c r="A3205" s="605"/>
      <c r="B3205" s="568"/>
    </row>
    <row r="3206" spans="1:2" ht="12" customHeight="1">
      <c r="A3206" s="605"/>
      <c r="B3206" s="568"/>
    </row>
    <row r="3207" spans="1:2" ht="12" customHeight="1">
      <c r="A3207" s="605"/>
      <c r="B3207" s="568"/>
    </row>
    <row r="3208" spans="1:2" ht="12" customHeight="1">
      <c r="A3208" s="605"/>
      <c r="B3208" s="568"/>
    </row>
    <row r="3209" spans="1:2" ht="12" customHeight="1">
      <c r="A3209" s="605"/>
      <c r="B3209" s="568"/>
    </row>
    <row r="3210" spans="1:2" ht="12" customHeight="1">
      <c r="A3210" s="605"/>
      <c r="B3210" s="568"/>
    </row>
    <row r="3211" spans="1:2" ht="12" customHeight="1">
      <c r="A3211" s="605"/>
      <c r="B3211" s="568"/>
    </row>
    <row r="3212" spans="1:2" ht="12" customHeight="1">
      <c r="A3212" s="605"/>
      <c r="B3212" s="568"/>
    </row>
    <row r="3213" spans="1:2" ht="12" customHeight="1">
      <c r="A3213" s="605"/>
      <c r="B3213" s="568"/>
    </row>
    <row r="3214" spans="1:2" ht="12" customHeight="1">
      <c r="A3214" s="605"/>
      <c r="B3214" s="568"/>
    </row>
    <row r="3215" spans="1:2" ht="12" customHeight="1">
      <c r="A3215" s="605"/>
      <c r="B3215" s="568"/>
    </row>
    <row r="3216" spans="1:2" ht="12" customHeight="1">
      <c r="A3216" s="605"/>
      <c r="B3216" s="568"/>
    </row>
    <row r="3217" spans="1:2" ht="12" customHeight="1">
      <c r="A3217" s="605"/>
      <c r="B3217" s="568"/>
    </row>
    <row r="3218" spans="1:2" ht="12" customHeight="1">
      <c r="A3218" s="605"/>
      <c r="B3218" s="568"/>
    </row>
    <row r="3219" spans="1:2" ht="12" customHeight="1">
      <c r="A3219" s="605"/>
      <c r="B3219" s="568"/>
    </row>
    <row r="3220" spans="1:2" ht="12" customHeight="1">
      <c r="A3220" s="605"/>
      <c r="B3220" s="568"/>
    </row>
    <row r="3221" spans="1:2" ht="12" customHeight="1">
      <c r="A3221" s="605"/>
      <c r="B3221" s="568"/>
    </row>
    <row r="3222" spans="1:2" ht="12" customHeight="1">
      <c r="A3222" s="605"/>
      <c r="B3222" s="568"/>
    </row>
    <row r="3223" spans="1:2" ht="12" customHeight="1">
      <c r="A3223" s="605"/>
      <c r="B3223" s="568"/>
    </row>
    <row r="3224" spans="1:2" ht="12" customHeight="1">
      <c r="A3224" s="605"/>
      <c r="B3224" s="568"/>
    </row>
    <row r="3225" spans="1:2" ht="12" customHeight="1">
      <c r="A3225" s="605"/>
      <c r="B3225" s="568"/>
    </row>
    <row r="3226" spans="1:2" ht="12" customHeight="1">
      <c r="A3226" s="605"/>
      <c r="B3226" s="568"/>
    </row>
    <row r="3227" spans="1:2" ht="12" customHeight="1">
      <c r="A3227" s="605"/>
      <c r="B3227" s="568"/>
    </row>
    <row r="3228" spans="1:2" ht="12" customHeight="1">
      <c r="A3228" s="605"/>
      <c r="B3228" s="568"/>
    </row>
    <row r="3229" spans="1:2" ht="12" customHeight="1">
      <c r="A3229" s="605"/>
      <c r="B3229" s="568"/>
    </row>
    <row r="3230" spans="1:2" ht="12" customHeight="1">
      <c r="A3230" s="605"/>
      <c r="B3230" s="568"/>
    </row>
    <row r="3231" spans="1:2" ht="12" customHeight="1">
      <c r="A3231" s="605"/>
      <c r="B3231" s="568"/>
    </row>
    <row r="3232" spans="1:2" ht="12" customHeight="1">
      <c r="A3232" s="605"/>
      <c r="B3232" s="568"/>
    </row>
    <row r="3233" spans="1:2" ht="12" customHeight="1">
      <c r="A3233" s="605"/>
      <c r="B3233" s="568"/>
    </row>
    <row r="3234" spans="1:2" ht="12" customHeight="1">
      <c r="A3234" s="605"/>
      <c r="B3234" s="568"/>
    </row>
    <row r="3235" spans="1:2" ht="12" customHeight="1">
      <c r="A3235" s="605"/>
      <c r="B3235" s="568"/>
    </row>
    <row r="3236" spans="1:2" ht="12" customHeight="1">
      <c r="A3236" s="605"/>
      <c r="B3236" s="568"/>
    </row>
    <row r="3237" spans="1:2" ht="12" customHeight="1">
      <c r="A3237" s="605"/>
      <c r="B3237" s="568"/>
    </row>
    <row r="3238" spans="1:2" ht="12" customHeight="1">
      <c r="A3238" s="605"/>
      <c r="B3238" s="568"/>
    </row>
    <row r="3239" spans="1:2" ht="12" customHeight="1">
      <c r="A3239" s="605"/>
      <c r="B3239" s="568"/>
    </row>
    <row r="3240" spans="1:2" ht="12" customHeight="1">
      <c r="A3240" s="605"/>
      <c r="B3240" s="568"/>
    </row>
    <row r="3241" spans="1:2" ht="12" customHeight="1">
      <c r="A3241" s="605"/>
      <c r="B3241" s="568"/>
    </row>
    <row r="3242" spans="1:2" ht="12" customHeight="1">
      <c r="A3242" s="605"/>
      <c r="B3242" s="568"/>
    </row>
    <row r="3243" spans="1:2" ht="12" customHeight="1">
      <c r="A3243" s="605"/>
      <c r="B3243" s="568"/>
    </row>
    <row r="3244" spans="1:2" ht="12" customHeight="1">
      <c r="A3244" s="605"/>
      <c r="B3244" s="568"/>
    </row>
    <row r="3245" spans="1:2" ht="12" customHeight="1">
      <c r="A3245" s="605"/>
      <c r="B3245" s="568"/>
    </row>
    <row r="3246" spans="1:2" ht="12" customHeight="1">
      <c r="A3246" s="605"/>
      <c r="B3246" s="568"/>
    </row>
    <row r="3247" spans="1:2" ht="12" customHeight="1">
      <c r="A3247" s="605"/>
      <c r="B3247" s="568"/>
    </row>
    <row r="3248" spans="1:2" ht="12" customHeight="1">
      <c r="A3248" s="605"/>
      <c r="B3248" s="568"/>
    </row>
    <row r="3249" spans="1:2" ht="12" customHeight="1">
      <c r="A3249" s="605"/>
      <c r="B3249" s="568"/>
    </row>
    <row r="3250" spans="1:2" ht="12" customHeight="1">
      <c r="A3250" s="605"/>
      <c r="B3250" s="568"/>
    </row>
    <row r="3251" spans="1:2" ht="12" customHeight="1">
      <c r="A3251" s="605"/>
      <c r="B3251" s="568"/>
    </row>
    <row r="3252" spans="1:2" ht="12" customHeight="1">
      <c r="A3252" s="605"/>
      <c r="B3252" s="568"/>
    </row>
    <row r="3253" spans="1:2" ht="12" customHeight="1">
      <c r="A3253" s="605"/>
      <c r="B3253" s="568"/>
    </row>
    <row r="3254" spans="1:2" ht="12" customHeight="1">
      <c r="A3254" s="605"/>
      <c r="B3254" s="568"/>
    </row>
    <row r="3255" spans="1:2" ht="12" customHeight="1">
      <c r="A3255" s="605"/>
      <c r="B3255" s="568"/>
    </row>
    <row r="3256" spans="1:2" ht="12" customHeight="1">
      <c r="A3256" s="605"/>
      <c r="B3256" s="568"/>
    </row>
    <row r="3257" spans="1:2" ht="12" customHeight="1">
      <c r="A3257" s="605"/>
      <c r="B3257" s="568"/>
    </row>
    <row r="3258" spans="1:2" ht="12" customHeight="1">
      <c r="A3258" s="605"/>
      <c r="B3258" s="568"/>
    </row>
    <row r="3259" spans="1:2" ht="12" customHeight="1">
      <c r="A3259" s="605"/>
      <c r="B3259" s="568"/>
    </row>
    <row r="3260" spans="1:2" ht="12" customHeight="1">
      <c r="A3260" s="605"/>
      <c r="B3260" s="568"/>
    </row>
    <row r="3261" spans="1:2" ht="12" customHeight="1">
      <c r="A3261" s="605"/>
      <c r="B3261" s="568"/>
    </row>
    <row r="3262" spans="1:2" ht="12" customHeight="1">
      <c r="A3262" s="605"/>
      <c r="B3262" s="568"/>
    </row>
    <row r="3263" spans="1:2" ht="12" customHeight="1">
      <c r="A3263" s="605"/>
      <c r="B3263" s="568"/>
    </row>
    <row r="3264" spans="1:2" ht="12" customHeight="1">
      <c r="A3264" s="605"/>
      <c r="B3264" s="568"/>
    </row>
    <row r="3265" spans="1:2" ht="12" customHeight="1">
      <c r="A3265" s="605"/>
      <c r="B3265" s="568"/>
    </row>
    <row r="3266" spans="1:2" ht="12" customHeight="1">
      <c r="A3266" s="605"/>
      <c r="B3266" s="568"/>
    </row>
    <row r="3267" spans="1:2" ht="12" customHeight="1">
      <c r="A3267" s="605"/>
      <c r="B3267" s="568"/>
    </row>
    <row r="3268" spans="1:2" ht="12" customHeight="1">
      <c r="A3268" s="605"/>
      <c r="B3268" s="568"/>
    </row>
    <row r="3269" spans="1:2" ht="12" customHeight="1">
      <c r="A3269" s="605"/>
      <c r="B3269" s="568"/>
    </row>
    <row r="3270" spans="1:2" ht="12" customHeight="1">
      <c r="A3270" s="605"/>
      <c r="B3270" s="568"/>
    </row>
    <row r="3271" spans="1:2" ht="12" customHeight="1">
      <c r="A3271" s="605"/>
      <c r="B3271" s="568"/>
    </row>
    <row r="3272" spans="1:2" ht="12" customHeight="1">
      <c r="A3272" s="605"/>
      <c r="B3272" s="568"/>
    </row>
    <row r="3273" spans="1:2" ht="12" customHeight="1">
      <c r="A3273" s="605"/>
      <c r="B3273" s="568"/>
    </row>
    <row r="3274" spans="1:2" ht="12" customHeight="1">
      <c r="A3274" s="605"/>
      <c r="B3274" s="568"/>
    </row>
    <row r="3275" spans="1:2" ht="12" customHeight="1">
      <c r="A3275" s="605"/>
      <c r="B3275" s="568"/>
    </row>
    <row r="3276" spans="1:2" ht="12" customHeight="1">
      <c r="A3276" s="605"/>
      <c r="B3276" s="568"/>
    </row>
    <row r="3277" spans="1:2" ht="12" customHeight="1">
      <c r="A3277" s="605"/>
      <c r="B3277" s="568"/>
    </row>
    <row r="3278" spans="1:2" ht="12" customHeight="1">
      <c r="A3278" s="605"/>
      <c r="B3278" s="568"/>
    </row>
    <row r="3279" spans="1:2" ht="12" customHeight="1">
      <c r="A3279" s="605"/>
      <c r="B3279" s="568"/>
    </row>
    <row r="3280" spans="1:2" ht="12" customHeight="1">
      <c r="A3280" s="605"/>
      <c r="B3280" s="568"/>
    </row>
    <row r="3281" spans="1:2" ht="12" customHeight="1">
      <c r="A3281" s="605"/>
      <c r="B3281" s="568"/>
    </row>
    <row r="3282" spans="1:2" ht="12" customHeight="1">
      <c r="A3282" s="605"/>
      <c r="B3282" s="568"/>
    </row>
    <row r="3283" spans="1:2" ht="12" customHeight="1">
      <c r="A3283" s="605"/>
      <c r="B3283" s="568"/>
    </row>
    <row r="3284" spans="1:2" ht="12" customHeight="1">
      <c r="A3284" s="605"/>
      <c r="B3284" s="568"/>
    </row>
    <row r="3285" spans="1:2" ht="12" customHeight="1">
      <c r="A3285" s="605"/>
      <c r="B3285" s="568"/>
    </row>
    <row r="3286" spans="1:2" ht="12" customHeight="1">
      <c r="A3286" s="605"/>
      <c r="B3286" s="568"/>
    </row>
    <row r="3287" spans="1:2" ht="12" customHeight="1">
      <c r="A3287" s="605"/>
      <c r="B3287" s="568"/>
    </row>
    <row r="3288" spans="1:2" ht="12" customHeight="1">
      <c r="A3288" s="605"/>
      <c r="B3288" s="568"/>
    </row>
    <row r="3289" spans="1:2" ht="12" customHeight="1">
      <c r="A3289" s="605"/>
      <c r="B3289" s="568"/>
    </row>
    <row r="3290" spans="1:2" ht="12" customHeight="1">
      <c r="A3290" s="605"/>
      <c r="B3290" s="568"/>
    </row>
    <row r="3291" spans="1:2" ht="12" customHeight="1">
      <c r="A3291" s="605"/>
      <c r="B3291" s="568"/>
    </row>
    <row r="3292" spans="1:2" ht="12" customHeight="1">
      <c r="A3292" s="605"/>
      <c r="B3292" s="568"/>
    </row>
    <row r="3293" spans="1:2" ht="12" customHeight="1">
      <c r="A3293" s="605"/>
      <c r="B3293" s="568"/>
    </row>
    <row r="3294" spans="1:2" ht="12" customHeight="1">
      <c r="A3294" s="605"/>
      <c r="B3294" s="568"/>
    </row>
    <row r="3295" spans="1:2" ht="12" customHeight="1">
      <c r="A3295" s="605"/>
      <c r="B3295" s="568"/>
    </row>
    <row r="3296" spans="1:2" ht="12" customHeight="1">
      <c r="A3296" s="605"/>
      <c r="B3296" s="568"/>
    </row>
    <row r="3297" spans="1:2" ht="12" customHeight="1">
      <c r="A3297" s="605"/>
      <c r="B3297" s="568"/>
    </row>
    <row r="3298" spans="1:2" ht="12" customHeight="1">
      <c r="A3298" s="605"/>
      <c r="B3298" s="568"/>
    </row>
    <row r="3299" spans="1:2" ht="12" customHeight="1">
      <c r="A3299" s="605"/>
      <c r="B3299" s="568"/>
    </row>
    <row r="3300" spans="1:2" ht="12" customHeight="1">
      <c r="A3300" s="605"/>
      <c r="B3300" s="568"/>
    </row>
    <row r="3301" spans="1:2" ht="12" customHeight="1">
      <c r="A3301" s="605"/>
      <c r="B3301" s="568"/>
    </row>
    <row r="3302" spans="1:2" ht="12" customHeight="1">
      <c r="A3302" s="605"/>
      <c r="B3302" s="568"/>
    </row>
    <row r="3303" spans="1:2" ht="12" customHeight="1">
      <c r="A3303" s="605"/>
      <c r="B3303" s="568"/>
    </row>
    <row r="3304" spans="1:2" ht="12" customHeight="1">
      <c r="A3304" s="605"/>
      <c r="B3304" s="568"/>
    </row>
    <row r="3305" spans="1:2" ht="12" customHeight="1">
      <c r="A3305" s="605"/>
      <c r="B3305" s="568"/>
    </row>
    <row r="3306" spans="1:2" ht="12" customHeight="1">
      <c r="A3306" s="605"/>
      <c r="B3306" s="568"/>
    </row>
    <row r="3307" spans="1:2" ht="12" customHeight="1">
      <c r="A3307" s="605"/>
      <c r="B3307" s="568"/>
    </row>
    <row r="3308" spans="1:2" ht="12" customHeight="1">
      <c r="A3308" s="605"/>
      <c r="B3308" s="568"/>
    </row>
    <row r="3309" spans="1:2" ht="12" customHeight="1">
      <c r="A3309" s="605"/>
      <c r="B3309" s="568"/>
    </row>
    <row r="3310" spans="1:2" ht="12" customHeight="1">
      <c r="A3310" s="605"/>
      <c r="B3310" s="568"/>
    </row>
    <row r="3311" spans="1:2" ht="12" customHeight="1">
      <c r="A3311" s="605"/>
      <c r="B3311" s="568"/>
    </row>
    <row r="3312" spans="1:2" ht="12" customHeight="1">
      <c r="A3312" s="605"/>
      <c r="B3312" s="568"/>
    </row>
    <row r="3313" spans="1:2" ht="12" customHeight="1">
      <c r="A3313" s="605"/>
      <c r="B3313" s="568"/>
    </row>
    <row r="3314" spans="1:2" ht="12" customHeight="1">
      <c r="A3314" s="605"/>
      <c r="B3314" s="568"/>
    </row>
    <row r="3315" spans="1:2" ht="12" customHeight="1">
      <c r="A3315" s="605"/>
      <c r="B3315" s="568"/>
    </row>
    <row r="3316" spans="1:2" ht="12" customHeight="1">
      <c r="A3316" s="605"/>
      <c r="B3316" s="568"/>
    </row>
    <row r="3317" spans="1:2" ht="12" customHeight="1">
      <c r="A3317" s="605"/>
      <c r="B3317" s="568"/>
    </row>
    <row r="3318" spans="1:2" ht="12" customHeight="1">
      <c r="A3318" s="605"/>
      <c r="B3318" s="568"/>
    </row>
    <row r="3319" spans="1:2" ht="12" customHeight="1">
      <c r="A3319" s="605"/>
      <c r="B3319" s="568"/>
    </row>
    <row r="3320" spans="1:2" ht="12" customHeight="1">
      <c r="A3320" s="605"/>
      <c r="B3320" s="568"/>
    </row>
    <row r="3321" spans="1:2" ht="12" customHeight="1">
      <c r="A3321" s="605"/>
      <c r="B3321" s="568"/>
    </row>
    <row r="3322" spans="1:2" ht="12" customHeight="1">
      <c r="A3322" s="605"/>
      <c r="B3322" s="568"/>
    </row>
    <row r="3323" spans="1:2" ht="12" customHeight="1">
      <c r="A3323" s="605"/>
      <c r="B3323" s="568"/>
    </row>
    <row r="3324" spans="1:2" ht="12" customHeight="1">
      <c r="A3324" s="605"/>
      <c r="B3324" s="568"/>
    </row>
    <row r="3325" spans="1:2" ht="12" customHeight="1">
      <c r="A3325" s="605"/>
      <c r="B3325" s="568"/>
    </row>
    <row r="3326" spans="1:2" ht="12" customHeight="1">
      <c r="A3326" s="605"/>
      <c r="B3326" s="568"/>
    </row>
    <row r="3327" spans="1:2" ht="12" customHeight="1">
      <c r="A3327" s="605"/>
      <c r="B3327" s="568"/>
    </row>
    <row r="3328" spans="1:2" ht="12" customHeight="1">
      <c r="A3328" s="605"/>
      <c r="B3328" s="568"/>
    </row>
    <row r="3329" spans="1:2" ht="12" customHeight="1">
      <c r="A3329" s="605"/>
      <c r="B3329" s="568"/>
    </row>
    <row r="3330" spans="1:2" ht="12" customHeight="1">
      <c r="A3330" s="605"/>
      <c r="B3330" s="568"/>
    </row>
    <row r="3331" spans="1:2" ht="12" customHeight="1">
      <c r="A3331" s="605"/>
      <c r="B3331" s="568"/>
    </row>
    <row r="3332" spans="1:2" ht="12" customHeight="1">
      <c r="A3332" s="605"/>
      <c r="B3332" s="568"/>
    </row>
    <row r="3333" spans="1:2" ht="12" customHeight="1">
      <c r="A3333" s="605"/>
      <c r="B3333" s="568"/>
    </row>
    <row r="3334" spans="1:2" ht="12" customHeight="1">
      <c r="A3334" s="605"/>
      <c r="B3334" s="568"/>
    </row>
    <row r="3335" spans="1:2" ht="12" customHeight="1">
      <c r="A3335" s="605"/>
      <c r="B3335" s="568"/>
    </row>
    <row r="3336" spans="1:2" ht="12" customHeight="1">
      <c r="A3336" s="605"/>
      <c r="B3336" s="568"/>
    </row>
    <row r="3337" spans="1:2" ht="12" customHeight="1">
      <c r="A3337" s="605"/>
      <c r="B3337" s="568"/>
    </row>
    <row r="3338" spans="1:2" ht="12" customHeight="1">
      <c r="A3338" s="605"/>
      <c r="B3338" s="568"/>
    </row>
    <row r="3339" spans="1:2" ht="12" customHeight="1">
      <c r="A3339" s="605"/>
      <c r="B3339" s="568"/>
    </row>
    <row r="3340" spans="1:2" ht="12" customHeight="1">
      <c r="A3340" s="605"/>
      <c r="B3340" s="568"/>
    </row>
    <row r="3341" spans="1:2" ht="12" customHeight="1">
      <c r="A3341" s="605"/>
      <c r="B3341" s="568"/>
    </row>
    <row r="3342" spans="1:2" ht="12" customHeight="1">
      <c r="A3342" s="605"/>
      <c r="B3342" s="568"/>
    </row>
    <row r="3343" spans="1:2" ht="12" customHeight="1">
      <c r="A3343" s="605"/>
      <c r="B3343" s="568"/>
    </row>
    <row r="3344" spans="1:2" ht="12" customHeight="1">
      <c r="A3344" s="605"/>
      <c r="B3344" s="568"/>
    </row>
    <row r="3345" spans="1:2" ht="12" customHeight="1">
      <c r="A3345" s="605"/>
      <c r="B3345" s="568"/>
    </row>
    <row r="3346" spans="1:2" ht="12" customHeight="1">
      <c r="A3346" s="605"/>
      <c r="B3346" s="568"/>
    </row>
    <row r="3347" spans="1:2" ht="12" customHeight="1">
      <c r="A3347" s="605"/>
      <c r="B3347" s="568"/>
    </row>
    <row r="3348" spans="1:2" ht="12" customHeight="1">
      <c r="A3348" s="605"/>
      <c r="B3348" s="568"/>
    </row>
    <row r="3349" spans="1:2" ht="12" customHeight="1">
      <c r="A3349" s="605"/>
      <c r="B3349" s="568"/>
    </row>
    <row r="3350" spans="1:2" ht="12" customHeight="1">
      <c r="A3350" s="605"/>
      <c r="B3350" s="568"/>
    </row>
    <row r="3351" spans="1:2" ht="12" customHeight="1">
      <c r="A3351" s="605"/>
      <c r="B3351" s="568"/>
    </row>
    <row r="3352" spans="1:2" ht="12" customHeight="1">
      <c r="A3352" s="605"/>
      <c r="B3352" s="568"/>
    </row>
    <row r="3353" spans="1:2" ht="12" customHeight="1">
      <c r="A3353" s="605"/>
      <c r="B3353" s="568"/>
    </row>
    <row r="3354" spans="1:2" ht="12" customHeight="1">
      <c r="A3354" s="605"/>
      <c r="B3354" s="568"/>
    </row>
    <row r="3355" spans="1:2" ht="12" customHeight="1">
      <c r="A3355" s="605"/>
      <c r="B3355" s="568"/>
    </row>
    <row r="3356" spans="1:2" ht="12" customHeight="1">
      <c r="A3356" s="605"/>
      <c r="B3356" s="568"/>
    </row>
    <row r="3357" spans="1:2" ht="12" customHeight="1">
      <c r="A3357" s="605"/>
      <c r="B3357" s="568"/>
    </row>
    <row r="3358" spans="1:2" ht="12" customHeight="1">
      <c r="A3358" s="605"/>
      <c r="B3358" s="568"/>
    </row>
    <row r="3359" spans="1:2" ht="12" customHeight="1">
      <c r="A3359" s="605"/>
      <c r="B3359" s="568"/>
    </row>
    <row r="3360" spans="1:2" ht="12" customHeight="1">
      <c r="A3360" s="605"/>
      <c r="B3360" s="568"/>
    </row>
    <row r="3361" spans="1:2" ht="12" customHeight="1">
      <c r="A3361" s="605"/>
      <c r="B3361" s="568"/>
    </row>
    <row r="3362" spans="1:2" ht="12" customHeight="1">
      <c r="A3362" s="605"/>
      <c r="B3362" s="568"/>
    </row>
    <row r="3363" spans="1:2" ht="12" customHeight="1">
      <c r="A3363" s="605"/>
      <c r="B3363" s="568"/>
    </row>
    <row r="3364" spans="1:2" ht="12" customHeight="1">
      <c r="A3364" s="605"/>
      <c r="B3364" s="568"/>
    </row>
    <row r="3365" spans="1:2" ht="12" customHeight="1">
      <c r="A3365" s="605"/>
      <c r="B3365" s="568"/>
    </row>
    <row r="3366" spans="1:2" ht="12" customHeight="1">
      <c r="A3366" s="605"/>
      <c r="B3366" s="568"/>
    </row>
    <row r="3367" spans="1:2" ht="12" customHeight="1">
      <c r="A3367" s="605"/>
      <c r="B3367" s="568"/>
    </row>
    <row r="3368" spans="1:2" ht="12" customHeight="1">
      <c r="A3368" s="605"/>
      <c r="B3368" s="568"/>
    </row>
    <row r="3369" spans="1:2" ht="12" customHeight="1">
      <c r="A3369" s="605"/>
      <c r="B3369" s="568"/>
    </row>
    <row r="3370" spans="1:2" ht="12" customHeight="1">
      <c r="A3370" s="605"/>
      <c r="B3370" s="568"/>
    </row>
    <row r="3371" spans="1:2" ht="12" customHeight="1">
      <c r="A3371" s="605"/>
      <c r="B3371" s="568"/>
    </row>
    <row r="3372" spans="1:2" ht="12" customHeight="1">
      <c r="A3372" s="605"/>
      <c r="B3372" s="568"/>
    </row>
    <row r="3373" spans="1:2" ht="12" customHeight="1">
      <c r="A3373" s="605"/>
      <c r="B3373" s="568"/>
    </row>
    <row r="3374" spans="1:2" ht="12" customHeight="1">
      <c r="A3374" s="605"/>
      <c r="B3374" s="568"/>
    </row>
    <row r="3375" spans="1:2" ht="12" customHeight="1">
      <c r="A3375" s="605"/>
      <c r="B3375" s="568"/>
    </row>
    <row r="3376" spans="1:2" ht="12" customHeight="1">
      <c r="A3376" s="605"/>
      <c r="B3376" s="568"/>
    </row>
    <row r="3377" spans="1:2" ht="12" customHeight="1">
      <c r="A3377" s="605"/>
      <c r="B3377" s="568"/>
    </row>
    <row r="3378" spans="1:2" ht="12" customHeight="1">
      <c r="A3378" s="605"/>
      <c r="B3378" s="568"/>
    </row>
    <row r="3379" spans="1:2" ht="12" customHeight="1">
      <c r="A3379" s="605"/>
      <c r="B3379" s="568"/>
    </row>
    <row r="3380" spans="1:2" ht="12" customHeight="1">
      <c r="A3380" s="605"/>
      <c r="B3380" s="568"/>
    </row>
    <row r="3381" spans="1:2" ht="12" customHeight="1">
      <c r="A3381" s="605"/>
      <c r="B3381" s="568"/>
    </row>
    <row r="3382" spans="1:2" ht="12" customHeight="1">
      <c r="A3382" s="605"/>
      <c r="B3382" s="568"/>
    </row>
    <row r="3383" spans="1:2" ht="12" customHeight="1">
      <c r="A3383" s="605"/>
      <c r="B3383" s="568"/>
    </row>
    <row r="3384" spans="1:2" ht="12" customHeight="1">
      <c r="A3384" s="605"/>
      <c r="B3384" s="568"/>
    </row>
    <row r="3385" spans="1:2" ht="12" customHeight="1">
      <c r="A3385" s="605"/>
      <c r="B3385" s="568"/>
    </row>
    <row r="3386" spans="1:2" ht="12" customHeight="1">
      <c r="A3386" s="605"/>
      <c r="B3386" s="568"/>
    </row>
    <row r="3387" spans="1:2" ht="12" customHeight="1">
      <c r="A3387" s="605"/>
      <c r="B3387" s="568"/>
    </row>
    <row r="3388" spans="1:2" ht="12" customHeight="1">
      <c r="A3388" s="605"/>
      <c r="B3388" s="568"/>
    </row>
    <row r="3389" spans="1:2" ht="12" customHeight="1">
      <c r="A3389" s="605"/>
      <c r="B3389" s="568"/>
    </row>
    <row r="3390" spans="1:2" ht="12" customHeight="1">
      <c r="A3390" s="605"/>
      <c r="B3390" s="568"/>
    </row>
    <row r="3391" spans="1:2" ht="12" customHeight="1">
      <c r="A3391" s="605"/>
      <c r="B3391" s="568"/>
    </row>
    <row r="3392" spans="1:2" ht="12" customHeight="1">
      <c r="A3392" s="605"/>
      <c r="B3392" s="568"/>
    </row>
    <row r="3393" spans="1:2" ht="12" customHeight="1">
      <c r="A3393" s="605"/>
      <c r="B3393" s="568"/>
    </row>
    <row r="3394" spans="1:2" ht="12" customHeight="1">
      <c r="A3394" s="605"/>
      <c r="B3394" s="568"/>
    </row>
    <row r="3395" spans="1:2" ht="12" customHeight="1">
      <c r="A3395" s="605"/>
      <c r="B3395" s="568"/>
    </row>
    <row r="3396" spans="1:2" ht="12" customHeight="1">
      <c r="A3396" s="605"/>
      <c r="B3396" s="568"/>
    </row>
    <row r="3397" spans="1:2" ht="12" customHeight="1">
      <c r="A3397" s="605"/>
      <c r="B3397" s="568"/>
    </row>
    <row r="3398" spans="1:2" ht="12" customHeight="1">
      <c r="A3398" s="605"/>
      <c r="B3398" s="568"/>
    </row>
    <row r="3399" spans="1:2" ht="12" customHeight="1">
      <c r="A3399" s="605"/>
      <c r="B3399" s="568"/>
    </row>
    <row r="3400" spans="1:2" ht="12" customHeight="1">
      <c r="A3400" s="605"/>
      <c r="B3400" s="568"/>
    </row>
    <row r="3401" spans="1:2" ht="12" customHeight="1">
      <c r="A3401" s="605"/>
      <c r="B3401" s="568"/>
    </row>
    <row r="3402" spans="1:2" ht="12" customHeight="1">
      <c r="A3402" s="605"/>
      <c r="B3402" s="568"/>
    </row>
    <row r="3403" spans="1:2" ht="12" customHeight="1">
      <c r="A3403" s="605"/>
      <c r="B3403" s="568"/>
    </row>
    <row r="3404" spans="1:2" ht="12" customHeight="1">
      <c r="A3404" s="605"/>
      <c r="B3404" s="568"/>
    </row>
    <row r="3405" spans="1:2" ht="12" customHeight="1">
      <c r="A3405" s="605"/>
      <c r="B3405" s="568"/>
    </row>
    <row r="3406" spans="1:2" ht="12" customHeight="1">
      <c r="A3406" s="605"/>
      <c r="B3406" s="568"/>
    </row>
    <row r="3407" spans="1:2" ht="12" customHeight="1">
      <c r="A3407" s="605"/>
      <c r="B3407" s="568"/>
    </row>
    <row r="3408" spans="1:2" ht="12" customHeight="1">
      <c r="A3408" s="605"/>
      <c r="B3408" s="568"/>
    </row>
    <row r="3409" spans="1:2" ht="12" customHeight="1">
      <c r="A3409" s="605"/>
      <c r="B3409" s="568"/>
    </row>
    <row r="3410" spans="1:2" ht="12" customHeight="1">
      <c r="A3410" s="605"/>
      <c r="B3410" s="568"/>
    </row>
    <row r="3411" spans="1:2" ht="12" customHeight="1">
      <c r="A3411" s="605"/>
      <c r="B3411" s="568"/>
    </row>
    <row r="3412" spans="1:2" ht="12" customHeight="1">
      <c r="A3412" s="605"/>
      <c r="B3412" s="568"/>
    </row>
    <row r="3413" spans="1:2" ht="12" customHeight="1">
      <c r="A3413" s="605"/>
      <c r="B3413" s="568"/>
    </row>
    <row r="3414" spans="1:2" ht="12" customHeight="1">
      <c r="A3414" s="605"/>
      <c r="B3414" s="568"/>
    </row>
    <row r="3415" spans="1:2" ht="12" customHeight="1">
      <c r="A3415" s="605"/>
      <c r="B3415" s="568"/>
    </row>
    <row r="3416" spans="1:2" ht="12" customHeight="1">
      <c r="A3416" s="605"/>
      <c r="B3416" s="568"/>
    </row>
    <row r="3417" spans="1:2" ht="12" customHeight="1">
      <c r="A3417" s="605"/>
      <c r="B3417" s="568"/>
    </row>
    <row r="3418" spans="1:2" ht="12" customHeight="1">
      <c r="A3418" s="605"/>
      <c r="B3418" s="568"/>
    </row>
    <row r="3419" spans="1:2" ht="12" customHeight="1">
      <c r="A3419" s="605"/>
      <c r="B3419" s="568"/>
    </row>
    <row r="3420" spans="1:2" ht="12" customHeight="1">
      <c r="A3420" s="605"/>
      <c r="B3420" s="568"/>
    </row>
    <row r="3421" spans="1:2" ht="12" customHeight="1">
      <c r="A3421" s="605"/>
      <c r="B3421" s="568"/>
    </row>
    <row r="3422" spans="1:2" ht="12" customHeight="1">
      <c r="A3422" s="605"/>
      <c r="B3422" s="568"/>
    </row>
    <row r="3423" spans="1:2" ht="12" customHeight="1">
      <c r="A3423" s="605"/>
      <c r="B3423" s="568"/>
    </row>
    <row r="3424" spans="1:2" ht="12" customHeight="1">
      <c r="A3424" s="605"/>
      <c r="B3424" s="568"/>
    </row>
    <row r="3425" spans="1:2" ht="12" customHeight="1">
      <c r="A3425" s="605"/>
      <c r="B3425" s="568"/>
    </row>
    <row r="3426" spans="1:2" ht="12" customHeight="1">
      <c r="A3426" s="605"/>
      <c r="B3426" s="568"/>
    </row>
    <row r="3427" spans="1:2" ht="12" customHeight="1">
      <c r="A3427" s="605"/>
      <c r="B3427" s="568"/>
    </row>
    <row r="3428" spans="1:2" ht="12" customHeight="1">
      <c r="A3428" s="605"/>
      <c r="B3428" s="568"/>
    </row>
    <row r="3429" spans="1:2" ht="12" customHeight="1">
      <c r="A3429" s="605"/>
      <c r="B3429" s="568"/>
    </row>
    <row r="3430" spans="1:2" ht="12" customHeight="1">
      <c r="A3430" s="605"/>
      <c r="B3430" s="568"/>
    </row>
    <row r="3431" spans="1:2" ht="12" customHeight="1">
      <c r="A3431" s="605"/>
      <c r="B3431" s="568"/>
    </row>
    <row r="3432" spans="1:2" ht="12" customHeight="1">
      <c r="A3432" s="605"/>
      <c r="B3432" s="568"/>
    </row>
    <row r="3433" spans="1:2" ht="12" customHeight="1">
      <c r="A3433" s="605"/>
      <c r="B3433" s="568"/>
    </row>
    <row r="3434" spans="1:2" ht="12" customHeight="1">
      <c r="A3434" s="605"/>
      <c r="B3434" s="568"/>
    </row>
    <row r="3435" spans="1:2" ht="12" customHeight="1">
      <c r="A3435" s="605"/>
      <c r="B3435" s="568"/>
    </row>
    <row r="3436" spans="1:2" ht="12" customHeight="1">
      <c r="A3436" s="605"/>
      <c r="B3436" s="568"/>
    </row>
    <row r="3437" spans="1:2" ht="12" customHeight="1">
      <c r="A3437" s="605"/>
      <c r="B3437" s="568"/>
    </row>
    <row r="3438" spans="1:2" ht="12" customHeight="1">
      <c r="A3438" s="605"/>
      <c r="B3438" s="568"/>
    </row>
    <row r="3439" spans="1:2" ht="12" customHeight="1">
      <c r="A3439" s="605"/>
      <c r="B3439" s="568"/>
    </row>
    <row r="3440" spans="1:2" ht="12" customHeight="1">
      <c r="A3440" s="605"/>
      <c r="B3440" s="568"/>
    </row>
    <row r="3441" spans="1:2" ht="12" customHeight="1">
      <c r="A3441" s="605"/>
      <c r="B3441" s="568"/>
    </row>
    <row r="3442" spans="1:2" ht="12" customHeight="1">
      <c r="A3442" s="605"/>
      <c r="B3442" s="568"/>
    </row>
    <row r="3443" spans="1:2" ht="12" customHeight="1">
      <c r="A3443" s="605"/>
      <c r="B3443" s="568"/>
    </row>
    <row r="3444" spans="1:2" ht="12" customHeight="1">
      <c r="A3444" s="605"/>
      <c r="B3444" s="568"/>
    </row>
    <row r="3445" spans="1:2" ht="12" customHeight="1">
      <c r="A3445" s="605"/>
      <c r="B3445" s="568"/>
    </row>
    <row r="3446" spans="1:2" ht="12" customHeight="1">
      <c r="A3446" s="605"/>
      <c r="B3446" s="568"/>
    </row>
    <row r="3447" spans="1:2" ht="12" customHeight="1">
      <c r="A3447" s="605"/>
      <c r="B3447" s="568"/>
    </row>
    <row r="3448" spans="1:2" ht="12" customHeight="1">
      <c r="A3448" s="605"/>
      <c r="B3448" s="568"/>
    </row>
    <row r="3449" spans="1:2" ht="12" customHeight="1">
      <c r="A3449" s="605"/>
      <c r="B3449" s="568"/>
    </row>
    <row r="3450" spans="1:2" ht="12" customHeight="1">
      <c r="A3450" s="605"/>
      <c r="B3450" s="568"/>
    </row>
    <row r="3451" spans="1:2" ht="12" customHeight="1">
      <c r="A3451" s="605"/>
      <c r="B3451" s="568"/>
    </row>
    <row r="3452" spans="1:2" ht="12" customHeight="1">
      <c r="A3452" s="605"/>
      <c r="B3452" s="568"/>
    </row>
    <row r="3453" spans="1:2" ht="12" customHeight="1">
      <c r="A3453" s="605"/>
      <c r="B3453" s="568"/>
    </row>
    <row r="3454" spans="1:2" ht="12" customHeight="1">
      <c r="A3454" s="605"/>
      <c r="B3454" s="568"/>
    </row>
    <row r="3455" spans="1:2" ht="12" customHeight="1">
      <c r="A3455" s="605"/>
      <c r="B3455" s="568"/>
    </row>
    <row r="3456" spans="1:2" ht="12" customHeight="1">
      <c r="A3456" s="605"/>
      <c r="B3456" s="568"/>
    </row>
    <row r="3457" spans="1:2" ht="12" customHeight="1">
      <c r="A3457" s="605"/>
      <c r="B3457" s="568"/>
    </row>
    <row r="3458" spans="1:2" ht="12" customHeight="1">
      <c r="A3458" s="605"/>
      <c r="B3458" s="568"/>
    </row>
    <row r="3459" spans="1:2" ht="12" customHeight="1">
      <c r="A3459" s="605"/>
      <c r="B3459" s="568"/>
    </row>
    <row r="3460" spans="1:2" ht="12" customHeight="1">
      <c r="A3460" s="605"/>
      <c r="B3460" s="568"/>
    </row>
    <row r="3461" spans="1:2" ht="12" customHeight="1">
      <c r="A3461" s="605"/>
      <c r="B3461" s="568"/>
    </row>
    <row r="3462" spans="1:2" ht="12" customHeight="1">
      <c r="A3462" s="605"/>
      <c r="B3462" s="568"/>
    </row>
    <row r="3463" spans="1:2" ht="12" customHeight="1">
      <c r="A3463" s="605"/>
      <c r="B3463" s="568"/>
    </row>
    <row r="3464" spans="1:2" ht="12" customHeight="1">
      <c r="A3464" s="605"/>
      <c r="B3464" s="568"/>
    </row>
    <row r="3465" spans="1:2" ht="12" customHeight="1">
      <c r="A3465" s="605"/>
      <c r="B3465" s="568"/>
    </row>
    <row r="3466" spans="1:2" ht="12" customHeight="1">
      <c r="A3466" s="605"/>
      <c r="B3466" s="568"/>
    </row>
    <row r="3467" spans="1:2" ht="12" customHeight="1">
      <c r="A3467" s="605"/>
      <c r="B3467" s="568"/>
    </row>
    <row r="3468" spans="1:2" ht="12" customHeight="1">
      <c r="A3468" s="605"/>
      <c r="B3468" s="568"/>
    </row>
    <row r="3469" spans="1:2" ht="12" customHeight="1">
      <c r="A3469" s="605"/>
      <c r="B3469" s="568"/>
    </row>
    <row r="3470" spans="1:2" ht="12" customHeight="1">
      <c r="A3470" s="605"/>
      <c r="B3470" s="568"/>
    </row>
    <row r="3471" spans="1:2" ht="12" customHeight="1">
      <c r="A3471" s="605"/>
      <c r="B3471" s="568"/>
    </row>
    <row r="3472" spans="1:2" ht="12" customHeight="1">
      <c r="A3472" s="605"/>
      <c r="B3472" s="568"/>
    </row>
    <row r="3473" spans="1:2" ht="12" customHeight="1">
      <c r="A3473" s="605"/>
      <c r="B3473" s="568"/>
    </row>
    <row r="3474" spans="1:2" ht="12" customHeight="1">
      <c r="A3474" s="605"/>
      <c r="B3474" s="568"/>
    </row>
    <row r="3475" spans="1:2" ht="12" customHeight="1">
      <c r="A3475" s="605"/>
      <c r="B3475" s="568"/>
    </row>
    <row r="3476" spans="1:2" ht="12" customHeight="1">
      <c r="A3476" s="605"/>
      <c r="B3476" s="568"/>
    </row>
    <row r="3477" spans="1:2" ht="12" customHeight="1">
      <c r="A3477" s="605"/>
      <c r="B3477" s="568"/>
    </row>
    <row r="3478" spans="1:2" ht="12" customHeight="1">
      <c r="A3478" s="605"/>
      <c r="B3478" s="568"/>
    </row>
    <row r="3479" spans="1:2" ht="12" customHeight="1">
      <c r="A3479" s="605"/>
      <c r="B3479" s="568"/>
    </row>
    <row r="3480" spans="1:2" ht="12" customHeight="1">
      <c r="A3480" s="605"/>
      <c r="B3480" s="568"/>
    </row>
    <row r="3481" spans="1:2" ht="12" customHeight="1">
      <c r="A3481" s="605"/>
      <c r="B3481" s="568"/>
    </row>
    <row r="3482" spans="1:2" ht="12" customHeight="1">
      <c r="A3482" s="605"/>
      <c r="B3482" s="568"/>
    </row>
    <row r="3483" spans="1:2" ht="12" customHeight="1">
      <c r="A3483" s="605"/>
      <c r="B3483" s="568"/>
    </row>
    <row r="3484" spans="1:2" ht="12" customHeight="1">
      <c r="A3484" s="605"/>
      <c r="B3484" s="568"/>
    </row>
    <row r="3485" spans="1:2" ht="12" customHeight="1">
      <c r="A3485" s="605"/>
      <c r="B3485" s="568"/>
    </row>
    <row r="3486" spans="1:2" ht="12" customHeight="1">
      <c r="A3486" s="605"/>
      <c r="B3486" s="568"/>
    </row>
    <row r="3487" spans="1:2" ht="12" customHeight="1">
      <c r="A3487" s="605"/>
      <c r="B3487" s="568"/>
    </row>
    <row r="3488" spans="1:2" ht="12" customHeight="1">
      <c r="A3488" s="605"/>
      <c r="B3488" s="568"/>
    </row>
    <row r="3489" spans="1:2" ht="12" customHeight="1">
      <c r="A3489" s="605"/>
      <c r="B3489" s="568"/>
    </row>
    <row r="3490" spans="1:2" ht="12" customHeight="1">
      <c r="A3490" s="605"/>
      <c r="B3490" s="568"/>
    </row>
    <row r="3491" spans="1:2" ht="12" customHeight="1">
      <c r="A3491" s="605"/>
      <c r="B3491" s="568"/>
    </row>
    <row r="3492" spans="1:2" ht="12" customHeight="1">
      <c r="A3492" s="605"/>
      <c r="B3492" s="568"/>
    </row>
    <row r="3493" spans="1:2" ht="12" customHeight="1">
      <c r="A3493" s="605"/>
      <c r="B3493" s="568"/>
    </row>
    <row r="3494" spans="1:2" ht="12" customHeight="1">
      <c r="A3494" s="605"/>
      <c r="B3494" s="568"/>
    </row>
    <row r="3495" spans="1:2" ht="12" customHeight="1">
      <c r="A3495" s="605"/>
      <c r="B3495" s="568"/>
    </row>
    <row r="3496" spans="1:2" ht="12" customHeight="1">
      <c r="A3496" s="605"/>
      <c r="B3496" s="568"/>
    </row>
    <row r="3497" spans="1:2" ht="12" customHeight="1">
      <c r="A3497" s="605"/>
      <c r="B3497" s="568"/>
    </row>
    <row r="3498" spans="1:2" ht="12" customHeight="1">
      <c r="A3498" s="605"/>
      <c r="B3498" s="568"/>
    </row>
    <row r="3499" spans="1:2" ht="12" customHeight="1">
      <c r="A3499" s="605"/>
      <c r="B3499" s="568"/>
    </row>
    <row r="3500" spans="1:2" ht="12" customHeight="1">
      <c r="A3500" s="605"/>
      <c r="B3500" s="568"/>
    </row>
    <row r="3501" spans="1:2" ht="12" customHeight="1">
      <c r="A3501" s="605"/>
      <c r="B3501" s="568"/>
    </row>
    <row r="3502" spans="1:2" ht="12" customHeight="1">
      <c r="A3502" s="605"/>
      <c r="B3502" s="568"/>
    </row>
    <row r="3503" spans="1:2" ht="12" customHeight="1">
      <c r="A3503" s="605"/>
      <c r="B3503" s="568"/>
    </row>
    <row r="3504" spans="1:2" ht="12" customHeight="1">
      <c r="A3504" s="605"/>
      <c r="B3504" s="568"/>
    </row>
    <row r="3505" spans="1:2" ht="12" customHeight="1">
      <c r="A3505" s="605"/>
      <c r="B3505" s="568"/>
    </row>
    <row r="3506" spans="1:2" ht="12" customHeight="1">
      <c r="A3506" s="605"/>
      <c r="B3506" s="568"/>
    </row>
    <row r="3507" spans="1:2" ht="12" customHeight="1">
      <c r="A3507" s="605"/>
      <c r="B3507" s="568"/>
    </row>
    <row r="3508" spans="1:2" ht="12" customHeight="1">
      <c r="A3508" s="605"/>
      <c r="B3508" s="568"/>
    </row>
    <row r="3509" spans="1:2" ht="12" customHeight="1">
      <c r="A3509" s="605"/>
      <c r="B3509" s="568"/>
    </row>
    <row r="3510" spans="1:2" ht="12" customHeight="1">
      <c r="A3510" s="605"/>
      <c r="B3510" s="568"/>
    </row>
    <row r="3511" spans="1:2" ht="12" customHeight="1">
      <c r="A3511" s="605"/>
      <c r="B3511" s="568"/>
    </row>
    <row r="3512" spans="1:2" ht="12" customHeight="1">
      <c r="A3512" s="605"/>
      <c r="B3512" s="568"/>
    </row>
    <row r="3513" spans="1:2" ht="12" customHeight="1">
      <c r="A3513" s="605"/>
      <c r="B3513" s="568"/>
    </row>
    <row r="3514" spans="1:2" ht="12" customHeight="1">
      <c r="A3514" s="605"/>
      <c r="B3514" s="568"/>
    </row>
    <row r="3515" spans="1:2" ht="12" customHeight="1">
      <c r="A3515" s="605"/>
      <c r="B3515" s="568"/>
    </row>
    <row r="3516" spans="1:2" ht="12" customHeight="1">
      <c r="A3516" s="605"/>
      <c r="B3516" s="568"/>
    </row>
    <row r="3517" spans="1:2" ht="12" customHeight="1">
      <c r="A3517" s="605"/>
      <c r="B3517" s="568"/>
    </row>
    <row r="3518" spans="1:2" ht="12" customHeight="1">
      <c r="A3518" s="605"/>
      <c r="B3518" s="568"/>
    </row>
    <row r="3519" spans="1:2" ht="12" customHeight="1">
      <c r="A3519" s="605"/>
      <c r="B3519" s="568"/>
    </row>
    <row r="3520" spans="1:2" ht="12" customHeight="1">
      <c r="A3520" s="605"/>
      <c r="B3520" s="568"/>
    </row>
    <row r="3521" spans="1:2" ht="12" customHeight="1">
      <c r="A3521" s="605"/>
      <c r="B3521" s="568"/>
    </row>
    <row r="3522" spans="1:2" ht="12" customHeight="1">
      <c r="A3522" s="605"/>
      <c r="B3522" s="568"/>
    </row>
    <row r="3523" spans="1:2" ht="12" customHeight="1">
      <c r="A3523" s="605"/>
      <c r="B3523" s="568"/>
    </row>
    <row r="3524" spans="1:2" ht="12" customHeight="1">
      <c r="A3524" s="605"/>
      <c r="B3524" s="568"/>
    </row>
    <row r="3525" spans="1:2" ht="12" customHeight="1">
      <c r="A3525" s="605"/>
      <c r="B3525" s="568"/>
    </row>
    <row r="3526" spans="1:2" ht="12" customHeight="1">
      <c r="A3526" s="605"/>
      <c r="B3526" s="568"/>
    </row>
    <row r="3527" spans="1:2" ht="12" customHeight="1">
      <c r="A3527" s="605"/>
      <c r="B3527" s="568"/>
    </row>
    <row r="3528" spans="1:2" ht="12" customHeight="1">
      <c r="A3528" s="605"/>
      <c r="B3528" s="568"/>
    </row>
    <row r="3529" spans="1:2" ht="12" customHeight="1">
      <c r="A3529" s="605"/>
      <c r="B3529" s="568"/>
    </row>
    <row r="3530" spans="1:2" ht="12" customHeight="1">
      <c r="A3530" s="605"/>
      <c r="B3530" s="568"/>
    </row>
    <row r="3531" spans="1:2" ht="12" customHeight="1">
      <c r="A3531" s="605"/>
      <c r="B3531" s="568"/>
    </row>
    <row r="3532" spans="1:2" ht="12" customHeight="1">
      <c r="A3532" s="605"/>
      <c r="B3532" s="568"/>
    </row>
    <row r="3533" spans="1:2" ht="12" customHeight="1">
      <c r="A3533" s="605"/>
      <c r="B3533" s="568"/>
    </row>
    <row r="3534" spans="1:2" ht="12" customHeight="1">
      <c r="A3534" s="605"/>
      <c r="B3534" s="568"/>
    </row>
    <row r="3535" spans="1:2" ht="12" customHeight="1">
      <c r="A3535" s="605"/>
      <c r="B3535" s="568"/>
    </row>
    <row r="3536" spans="1:2" ht="12" customHeight="1">
      <c r="A3536" s="605"/>
      <c r="B3536" s="568"/>
    </row>
    <row r="3537" spans="1:2" ht="12" customHeight="1">
      <c r="A3537" s="605"/>
      <c r="B3537" s="568"/>
    </row>
    <row r="3538" spans="1:2" ht="12" customHeight="1">
      <c r="A3538" s="605"/>
      <c r="B3538" s="568"/>
    </row>
    <row r="3539" spans="1:2" ht="12" customHeight="1">
      <c r="A3539" s="605"/>
      <c r="B3539" s="568"/>
    </row>
    <row r="3540" spans="1:2" ht="12" customHeight="1">
      <c r="A3540" s="605"/>
      <c r="B3540" s="568"/>
    </row>
    <row r="3541" spans="1:2" ht="12" customHeight="1">
      <c r="A3541" s="605"/>
      <c r="B3541" s="568"/>
    </row>
    <row r="3542" spans="1:2" ht="12" customHeight="1">
      <c r="A3542" s="605"/>
      <c r="B3542" s="568"/>
    </row>
    <row r="3543" spans="1:2" ht="12" customHeight="1">
      <c r="A3543" s="605"/>
      <c r="B3543" s="568"/>
    </row>
    <row r="3544" spans="1:2" ht="12" customHeight="1">
      <c r="A3544" s="605"/>
      <c r="B3544" s="568"/>
    </row>
    <row r="3545" spans="1:2" ht="12" customHeight="1">
      <c r="A3545" s="605"/>
      <c r="B3545" s="568"/>
    </row>
    <row r="3546" spans="1:2" ht="12" customHeight="1">
      <c r="A3546" s="605"/>
      <c r="B3546" s="568"/>
    </row>
    <row r="3547" spans="1:2" ht="12" customHeight="1">
      <c r="A3547" s="605"/>
      <c r="B3547" s="568"/>
    </row>
    <row r="3548" spans="1:2" ht="12" customHeight="1">
      <c r="A3548" s="605"/>
      <c r="B3548" s="568"/>
    </row>
    <row r="3549" spans="1:2" ht="12" customHeight="1">
      <c r="A3549" s="605"/>
      <c r="B3549" s="568"/>
    </row>
    <row r="3550" spans="1:2" ht="12" customHeight="1">
      <c r="A3550" s="605"/>
      <c r="B3550" s="568"/>
    </row>
    <row r="3551" spans="1:2" ht="12" customHeight="1">
      <c r="A3551" s="605"/>
      <c r="B3551" s="568"/>
    </row>
    <row r="3552" spans="1:2" ht="12" customHeight="1">
      <c r="A3552" s="605"/>
      <c r="B3552" s="568"/>
    </row>
    <row r="3553" spans="1:2" ht="12" customHeight="1">
      <c r="A3553" s="605"/>
      <c r="B3553" s="568"/>
    </row>
    <row r="3554" spans="1:2" ht="12" customHeight="1">
      <c r="A3554" s="605"/>
      <c r="B3554" s="568"/>
    </row>
    <row r="3555" spans="1:2" ht="12" customHeight="1">
      <c r="A3555" s="605"/>
      <c r="B3555" s="568"/>
    </row>
    <row r="3556" spans="1:2" ht="12" customHeight="1">
      <c r="A3556" s="605"/>
      <c r="B3556" s="568"/>
    </row>
    <row r="3557" spans="1:2" ht="12" customHeight="1">
      <c r="A3557" s="605"/>
      <c r="B3557" s="568"/>
    </row>
    <row r="3558" spans="1:2" ht="12" customHeight="1">
      <c r="A3558" s="605"/>
      <c r="B3558" s="568"/>
    </row>
    <row r="3559" spans="1:2" ht="12" customHeight="1">
      <c r="A3559" s="605"/>
      <c r="B3559" s="568"/>
    </row>
    <row r="3560" spans="1:2" ht="12" customHeight="1">
      <c r="A3560" s="605"/>
      <c r="B3560" s="568"/>
    </row>
    <row r="3561" spans="1:2" ht="12" customHeight="1">
      <c r="A3561" s="605"/>
      <c r="B3561" s="568"/>
    </row>
    <row r="3562" spans="1:2" ht="12" customHeight="1">
      <c r="A3562" s="605"/>
      <c r="B3562" s="568"/>
    </row>
    <row r="3563" spans="1:2" ht="12" customHeight="1">
      <c r="A3563" s="605"/>
      <c r="B3563" s="568"/>
    </row>
    <row r="3564" spans="1:2" ht="12" customHeight="1">
      <c r="A3564" s="605"/>
      <c r="B3564" s="568"/>
    </row>
    <row r="3565" spans="1:2" ht="12" customHeight="1">
      <c r="A3565" s="605"/>
      <c r="B3565" s="568"/>
    </row>
    <row r="3566" spans="1:2" ht="12" customHeight="1">
      <c r="A3566" s="605"/>
      <c r="B3566" s="568"/>
    </row>
    <row r="3567" spans="1:2" ht="12" customHeight="1">
      <c r="A3567" s="605"/>
      <c r="B3567" s="568"/>
    </row>
    <row r="3568" spans="1:2" ht="12" customHeight="1">
      <c r="A3568" s="605"/>
      <c r="B3568" s="568"/>
    </row>
    <row r="3569" spans="1:2" ht="12" customHeight="1">
      <c r="A3569" s="605"/>
      <c r="B3569" s="568"/>
    </row>
    <row r="3570" spans="1:2" ht="12" customHeight="1">
      <c r="A3570" s="605"/>
      <c r="B3570" s="568"/>
    </row>
    <row r="3571" spans="1:2" ht="12" customHeight="1">
      <c r="A3571" s="605"/>
      <c r="B3571" s="568"/>
    </row>
    <row r="3572" spans="1:2" ht="12" customHeight="1">
      <c r="A3572" s="605"/>
      <c r="B3572" s="568"/>
    </row>
    <row r="3573" spans="1:2" ht="12" customHeight="1">
      <c r="A3573" s="605"/>
      <c r="B3573" s="568"/>
    </row>
    <row r="3574" spans="1:2" ht="12" customHeight="1">
      <c r="A3574" s="605"/>
      <c r="B3574" s="568"/>
    </row>
    <row r="3575" spans="1:2" ht="12" customHeight="1">
      <c r="A3575" s="605"/>
      <c r="B3575" s="568"/>
    </row>
    <row r="3576" spans="1:2" ht="12" customHeight="1">
      <c r="A3576" s="605"/>
      <c r="B3576" s="568"/>
    </row>
    <row r="3577" spans="1:2" ht="12" customHeight="1">
      <c r="A3577" s="605"/>
      <c r="B3577" s="568"/>
    </row>
    <row r="3578" spans="1:2" ht="12" customHeight="1">
      <c r="A3578" s="605"/>
      <c r="B3578" s="568"/>
    </row>
    <row r="3579" spans="1:2" ht="12" customHeight="1">
      <c r="A3579" s="605"/>
      <c r="B3579" s="568"/>
    </row>
    <row r="3580" spans="1:2" ht="12" customHeight="1">
      <c r="A3580" s="605"/>
      <c r="B3580" s="568"/>
    </row>
    <row r="3581" spans="1:2" ht="12" customHeight="1">
      <c r="A3581" s="605"/>
      <c r="B3581" s="568"/>
    </row>
    <row r="3582" spans="1:2" ht="12" customHeight="1">
      <c r="A3582" s="605"/>
      <c r="B3582" s="568"/>
    </row>
    <row r="3583" spans="1:2" ht="12" customHeight="1">
      <c r="A3583" s="605"/>
      <c r="B3583" s="568"/>
    </row>
    <row r="3584" spans="1:2" ht="12" customHeight="1">
      <c r="A3584" s="605"/>
      <c r="B3584" s="568"/>
    </row>
    <row r="3585" spans="1:2" ht="12" customHeight="1">
      <c r="A3585" s="605"/>
      <c r="B3585" s="568"/>
    </row>
    <row r="3586" spans="1:2" ht="12" customHeight="1">
      <c r="A3586" s="605"/>
      <c r="B3586" s="568"/>
    </row>
    <row r="3587" spans="1:2" ht="12" customHeight="1">
      <c r="A3587" s="605"/>
      <c r="B3587" s="568"/>
    </row>
    <row r="3588" spans="1:2" ht="12" customHeight="1">
      <c r="A3588" s="605"/>
      <c r="B3588" s="568"/>
    </row>
    <row r="3589" spans="1:2" ht="12" customHeight="1">
      <c r="A3589" s="605"/>
      <c r="B3589" s="568"/>
    </row>
    <row r="3590" spans="1:2" ht="12" customHeight="1">
      <c r="A3590" s="605"/>
      <c r="B3590" s="568"/>
    </row>
    <row r="3591" spans="1:2" ht="12" customHeight="1">
      <c r="A3591" s="605"/>
      <c r="B3591" s="568"/>
    </row>
    <row r="3592" spans="1:2" ht="12" customHeight="1">
      <c r="A3592" s="605"/>
      <c r="B3592" s="568"/>
    </row>
    <row r="3593" spans="1:2" ht="12" customHeight="1">
      <c r="A3593" s="605"/>
      <c r="B3593" s="568"/>
    </row>
    <row r="3594" spans="1:2" ht="12" customHeight="1">
      <c r="A3594" s="605"/>
      <c r="B3594" s="568"/>
    </row>
    <row r="3595" spans="1:2" ht="12" customHeight="1">
      <c r="A3595" s="605"/>
      <c r="B3595" s="568"/>
    </row>
    <row r="3596" spans="1:2" ht="12" customHeight="1">
      <c r="A3596" s="605"/>
      <c r="B3596" s="568"/>
    </row>
    <row r="3597" spans="1:2" ht="12" customHeight="1">
      <c r="A3597" s="605"/>
      <c r="B3597" s="568"/>
    </row>
    <row r="3598" spans="1:2" ht="12" customHeight="1">
      <c r="A3598" s="605"/>
      <c r="B3598" s="568"/>
    </row>
    <row r="3599" spans="1:2" ht="12" customHeight="1">
      <c r="A3599" s="605"/>
      <c r="B3599" s="568"/>
    </row>
    <row r="3600" spans="1:2" ht="12" customHeight="1">
      <c r="A3600" s="605"/>
      <c r="B3600" s="568"/>
    </row>
    <row r="3601" spans="1:2" ht="12" customHeight="1">
      <c r="A3601" s="605"/>
      <c r="B3601" s="568"/>
    </row>
    <row r="3602" spans="1:2" ht="12" customHeight="1">
      <c r="A3602" s="605"/>
      <c r="B3602" s="568"/>
    </row>
    <row r="3603" spans="1:2" ht="12" customHeight="1">
      <c r="A3603" s="605"/>
      <c r="B3603" s="568"/>
    </row>
    <row r="3604" spans="1:2" ht="12" customHeight="1">
      <c r="A3604" s="605"/>
      <c r="B3604" s="568"/>
    </row>
    <row r="3605" spans="1:2" ht="12" customHeight="1">
      <c r="A3605" s="605"/>
      <c r="B3605" s="568"/>
    </row>
    <row r="3606" spans="1:2" ht="12" customHeight="1">
      <c r="A3606" s="605"/>
      <c r="B3606" s="568"/>
    </row>
    <row r="3607" spans="1:2" ht="12" customHeight="1">
      <c r="A3607" s="605"/>
      <c r="B3607" s="568"/>
    </row>
    <row r="3608" spans="1:2" ht="12" customHeight="1">
      <c r="A3608" s="605"/>
      <c r="B3608" s="568"/>
    </row>
    <row r="3609" spans="1:2" ht="12" customHeight="1">
      <c r="A3609" s="605"/>
      <c r="B3609" s="568"/>
    </row>
    <row r="3610" spans="1:2" ht="12" customHeight="1">
      <c r="A3610" s="605"/>
      <c r="B3610" s="568"/>
    </row>
    <row r="3611" spans="1:2" ht="12" customHeight="1">
      <c r="A3611" s="605"/>
      <c r="B3611" s="568"/>
    </row>
    <row r="3612" spans="1:2" ht="12" customHeight="1">
      <c r="A3612" s="605"/>
      <c r="B3612" s="568"/>
    </row>
    <row r="3613" spans="1:2" ht="12" customHeight="1">
      <c r="A3613" s="605"/>
      <c r="B3613" s="568"/>
    </row>
    <row r="3614" spans="1:2" ht="12" customHeight="1">
      <c r="A3614" s="605"/>
      <c r="B3614" s="568"/>
    </row>
    <row r="3615" spans="1:2" ht="12" customHeight="1">
      <c r="A3615" s="605"/>
      <c r="B3615" s="568"/>
    </row>
    <row r="3616" spans="1:2" ht="12" customHeight="1">
      <c r="A3616" s="605"/>
      <c r="B3616" s="568"/>
    </row>
    <row r="3617" spans="1:2" ht="12" customHeight="1">
      <c r="A3617" s="605"/>
      <c r="B3617" s="568"/>
    </row>
    <row r="3618" spans="1:2" ht="12" customHeight="1">
      <c r="A3618" s="605"/>
      <c r="B3618" s="568"/>
    </row>
    <row r="3619" spans="1:2" ht="12" customHeight="1">
      <c r="A3619" s="605"/>
      <c r="B3619" s="568"/>
    </row>
    <row r="3620" spans="1:2" ht="12" customHeight="1">
      <c r="A3620" s="605"/>
      <c r="B3620" s="568"/>
    </row>
    <row r="3621" spans="1:2" ht="12" customHeight="1">
      <c r="A3621" s="605"/>
      <c r="B3621" s="568"/>
    </row>
    <row r="3622" spans="1:2" ht="12" customHeight="1">
      <c r="A3622" s="605"/>
      <c r="B3622" s="568"/>
    </row>
    <row r="3623" spans="1:2" ht="12" customHeight="1">
      <c r="A3623" s="605"/>
      <c r="B3623" s="568"/>
    </row>
    <row r="3624" spans="1:2" ht="12" customHeight="1">
      <c r="A3624" s="605"/>
      <c r="B3624" s="568"/>
    </row>
    <row r="3625" spans="1:2" ht="12" customHeight="1">
      <c r="A3625" s="605"/>
      <c r="B3625" s="568"/>
    </row>
    <row r="3626" spans="1:2" ht="12" customHeight="1">
      <c r="A3626" s="605"/>
      <c r="B3626" s="568"/>
    </row>
    <row r="3627" spans="1:2" ht="12" customHeight="1">
      <c r="A3627" s="605"/>
      <c r="B3627" s="568"/>
    </row>
    <row r="3628" spans="1:2" ht="12" customHeight="1">
      <c r="A3628" s="605"/>
      <c r="B3628" s="568"/>
    </row>
    <row r="3629" spans="1:2" ht="12" customHeight="1">
      <c r="A3629" s="605"/>
      <c r="B3629" s="568"/>
    </row>
    <row r="3630" spans="1:2" ht="12" customHeight="1">
      <c r="A3630" s="605"/>
      <c r="B3630" s="568"/>
    </row>
    <row r="3631" spans="1:2" ht="12" customHeight="1">
      <c r="A3631" s="605"/>
      <c r="B3631" s="568"/>
    </row>
    <row r="3632" spans="1:2" ht="12" customHeight="1">
      <c r="A3632" s="605"/>
      <c r="B3632" s="568"/>
    </row>
    <row r="3633" spans="1:2" ht="12" customHeight="1">
      <c r="A3633" s="605"/>
      <c r="B3633" s="568"/>
    </row>
    <row r="3634" spans="1:2" ht="12" customHeight="1">
      <c r="A3634" s="605"/>
      <c r="B3634" s="568"/>
    </row>
    <row r="3635" spans="1:2" ht="12" customHeight="1">
      <c r="A3635" s="605"/>
      <c r="B3635" s="568"/>
    </row>
    <row r="3636" spans="1:2" ht="12" customHeight="1">
      <c r="A3636" s="605"/>
      <c r="B3636" s="568"/>
    </row>
    <row r="3637" spans="1:2" ht="12" customHeight="1">
      <c r="A3637" s="605"/>
      <c r="B3637" s="568"/>
    </row>
    <row r="3638" spans="1:2" ht="12" customHeight="1">
      <c r="A3638" s="605"/>
      <c r="B3638" s="568"/>
    </row>
    <row r="3639" spans="1:2" ht="12" customHeight="1">
      <c r="A3639" s="605"/>
      <c r="B3639" s="568"/>
    </row>
    <row r="3640" spans="1:2" ht="12" customHeight="1">
      <c r="A3640" s="605"/>
      <c r="B3640" s="568"/>
    </row>
    <row r="3641" spans="1:2" ht="12" customHeight="1">
      <c r="A3641" s="605"/>
      <c r="B3641" s="568"/>
    </row>
    <row r="3642" spans="1:2" ht="12" customHeight="1">
      <c r="A3642" s="605"/>
      <c r="B3642" s="568"/>
    </row>
    <row r="3643" spans="1:2" ht="12" customHeight="1">
      <c r="A3643" s="605"/>
      <c r="B3643" s="568"/>
    </row>
    <row r="3644" spans="1:2" ht="12" customHeight="1">
      <c r="A3644" s="605"/>
      <c r="B3644" s="568"/>
    </row>
    <row r="3645" spans="1:2" ht="12" customHeight="1">
      <c r="A3645" s="605"/>
      <c r="B3645" s="568"/>
    </row>
    <row r="3646" spans="1:2" ht="12" customHeight="1">
      <c r="A3646" s="605"/>
      <c r="B3646" s="568"/>
    </row>
    <row r="3647" spans="1:2" ht="12" customHeight="1">
      <c r="A3647" s="605"/>
      <c r="B3647" s="568"/>
    </row>
    <row r="3648" spans="1:2" ht="12" customHeight="1">
      <c r="A3648" s="605"/>
      <c r="B3648" s="568"/>
    </row>
    <row r="3649" spans="1:2" ht="12" customHeight="1">
      <c r="A3649" s="605"/>
      <c r="B3649" s="568"/>
    </row>
    <row r="3650" spans="1:2" ht="12" customHeight="1">
      <c r="A3650" s="605"/>
      <c r="B3650" s="568"/>
    </row>
    <row r="3651" spans="1:2" ht="12" customHeight="1">
      <c r="A3651" s="605"/>
      <c r="B3651" s="568"/>
    </row>
    <row r="3652" spans="1:2" ht="12" customHeight="1">
      <c r="A3652" s="605"/>
      <c r="B3652" s="568"/>
    </row>
    <row r="3653" spans="1:2" ht="12" customHeight="1">
      <c r="A3653" s="605"/>
      <c r="B3653" s="568"/>
    </row>
    <row r="3654" spans="1:2" ht="12" customHeight="1">
      <c r="A3654" s="605"/>
      <c r="B3654" s="568"/>
    </row>
    <row r="3655" spans="1:2" ht="12" customHeight="1">
      <c r="A3655" s="605"/>
      <c r="B3655" s="568"/>
    </row>
    <row r="3656" spans="1:2" ht="12" customHeight="1">
      <c r="A3656" s="605"/>
      <c r="B3656" s="568"/>
    </row>
    <row r="3657" spans="1:2" ht="12" customHeight="1">
      <c r="A3657" s="605"/>
      <c r="B3657" s="568"/>
    </row>
    <row r="3658" spans="1:2" ht="12" customHeight="1">
      <c r="A3658" s="605"/>
      <c r="B3658" s="568"/>
    </row>
    <row r="3659" spans="1:2" ht="12" customHeight="1">
      <c r="A3659" s="605"/>
      <c r="B3659" s="568"/>
    </row>
    <row r="3660" spans="1:2" ht="12" customHeight="1">
      <c r="A3660" s="605"/>
      <c r="B3660" s="568"/>
    </row>
    <row r="3661" spans="1:2" ht="12" customHeight="1">
      <c r="A3661" s="605"/>
      <c r="B3661" s="568"/>
    </row>
    <row r="3662" spans="1:2" ht="12" customHeight="1">
      <c r="A3662" s="605"/>
      <c r="B3662" s="568"/>
    </row>
    <row r="3663" spans="1:2" ht="12" customHeight="1">
      <c r="A3663" s="605"/>
      <c r="B3663" s="568"/>
    </row>
    <row r="3664" spans="1:2" ht="12" customHeight="1">
      <c r="A3664" s="605"/>
      <c r="B3664" s="568"/>
    </row>
    <row r="3665" spans="1:2" ht="12" customHeight="1">
      <c r="A3665" s="605"/>
      <c r="B3665" s="568"/>
    </row>
    <row r="3666" spans="1:2" ht="12" customHeight="1">
      <c r="A3666" s="605"/>
      <c r="B3666" s="568"/>
    </row>
    <row r="3667" spans="1:2" ht="12" customHeight="1">
      <c r="A3667" s="605"/>
      <c r="B3667" s="568"/>
    </row>
    <row r="3668" spans="1:2" ht="12" customHeight="1">
      <c r="A3668" s="605"/>
      <c r="B3668" s="568"/>
    </row>
    <row r="3669" spans="1:2" ht="12" customHeight="1">
      <c r="A3669" s="605"/>
      <c r="B3669" s="568"/>
    </row>
    <row r="3670" spans="1:2" ht="12" customHeight="1">
      <c r="A3670" s="605"/>
      <c r="B3670" s="568"/>
    </row>
    <row r="3671" spans="1:2" ht="12" customHeight="1">
      <c r="A3671" s="605"/>
      <c r="B3671" s="568"/>
    </row>
    <row r="3672" spans="1:2" ht="12" customHeight="1">
      <c r="A3672" s="605"/>
      <c r="B3672" s="568"/>
    </row>
    <row r="3673" spans="1:2" ht="12" customHeight="1">
      <c r="A3673" s="605"/>
      <c r="B3673" s="568"/>
    </row>
    <row r="3674" spans="1:2" ht="12" customHeight="1">
      <c r="A3674" s="605"/>
      <c r="B3674" s="568"/>
    </row>
    <row r="3675" spans="1:2" ht="12" customHeight="1">
      <c r="A3675" s="605"/>
      <c r="B3675" s="568"/>
    </row>
    <row r="3676" spans="1:2" ht="12" customHeight="1">
      <c r="A3676" s="605"/>
      <c r="B3676" s="568"/>
    </row>
    <row r="3677" spans="1:2" ht="12" customHeight="1">
      <c r="A3677" s="605"/>
      <c r="B3677" s="568"/>
    </row>
    <row r="3678" spans="1:2" ht="12" customHeight="1">
      <c r="A3678" s="605"/>
      <c r="B3678" s="568"/>
    </row>
    <row r="3679" spans="1:2" ht="12" customHeight="1">
      <c r="A3679" s="605"/>
      <c r="B3679" s="568"/>
    </row>
    <row r="3680" spans="1:2" ht="12" customHeight="1">
      <c r="A3680" s="605"/>
      <c r="B3680" s="568"/>
    </row>
    <row r="3681" spans="1:2" ht="12" customHeight="1">
      <c r="A3681" s="605"/>
      <c r="B3681" s="568"/>
    </row>
    <row r="3682" spans="1:2" ht="12" customHeight="1">
      <c r="A3682" s="605"/>
      <c r="B3682" s="568"/>
    </row>
    <row r="3683" spans="1:2" ht="12" customHeight="1">
      <c r="A3683" s="605"/>
      <c r="B3683" s="568"/>
    </row>
    <row r="3684" spans="1:2" ht="12" customHeight="1">
      <c r="A3684" s="605"/>
      <c r="B3684" s="568"/>
    </row>
    <row r="3685" spans="1:2" ht="12" customHeight="1">
      <c r="A3685" s="605"/>
      <c r="B3685" s="568"/>
    </row>
    <row r="3686" spans="1:2" ht="12" customHeight="1">
      <c r="A3686" s="605"/>
      <c r="B3686" s="568"/>
    </row>
    <row r="3687" spans="1:2" ht="12" customHeight="1">
      <c r="A3687" s="605"/>
      <c r="B3687" s="568"/>
    </row>
    <row r="3688" spans="1:2" ht="12" customHeight="1">
      <c r="A3688" s="605"/>
      <c r="B3688" s="568"/>
    </row>
    <row r="3689" spans="1:2" ht="12" customHeight="1">
      <c r="A3689" s="605"/>
      <c r="B3689" s="568"/>
    </row>
    <row r="3690" spans="1:2" ht="12" customHeight="1">
      <c r="A3690" s="605"/>
      <c r="B3690" s="568"/>
    </row>
    <row r="3691" spans="1:2" ht="12" customHeight="1">
      <c r="A3691" s="605"/>
      <c r="B3691" s="568"/>
    </row>
    <row r="3692" spans="1:2" ht="12" customHeight="1">
      <c r="A3692" s="605"/>
      <c r="B3692" s="568"/>
    </row>
    <row r="3693" spans="1:2" ht="12" customHeight="1">
      <c r="A3693" s="605"/>
      <c r="B3693" s="568"/>
    </row>
    <row r="3694" spans="1:2" ht="12" customHeight="1">
      <c r="A3694" s="605"/>
      <c r="B3694" s="568"/>
    </row>
    <row r="3695" spans="1:2" ht="12" customHeight="1">
      <c r="A3695" s="605"/>
      <c r="B3695" s="568"/>
    </row>
    <row r="3696" spans="1:2" ht="12" customHeight="1">
      <c r="A3696" s="605"/>
      <c r="B3696" s="568"/>
    </row>
    <row r="3697" spans="1:2" ht="12" customHeight="1">
      <c r="A3697" s="605"/>
      <c r="B3697" s="568"/>
    </row>
    <row r="3698" spans="1:2" ht="12" customHeight="1">
      <c r="A3698" s="605"/>
      <c r="B3698" s="568"/>
    </row>
    <row r="3699" spans="1:2" ht="12" customHeight="1">
      <c r="A3699" s="605"/>
      <c r="B3699" s="568"/>
    </row>
    <row r="3700" spans="1:2" ht="12" customHeight="1">
      <c r="A3700" s="605"/>
      <c r="B3700" s="568"/>
    </row>
    <row r="3701" spans="1:2" ht="12" customHeight="1">
      <c r="A3701" s="605"/>
      <c r="B3701" s="568"/>
    </row>
    <row r="3702" spans="1:2" ht="12" customHeight="1">
      <c r="A3702" s="605"/>
      <c r="B3702" s="568"/>
    </row>
    <row r="3703" spans="1:2" ht="12" customHeight="1">
      <c r="A3703" s="605"/>
      <c r="B3703" s="568"/>
    </row>
    <row r="3704" spans="1:2" ht="12" customHeight="1">
      <c r="A3704" s="605"/>
      <c r="B3704" s="568"/>
    </row>
    <row r="3705" spans="1:2" ht="12" customHeight="1">
      <c r="A3705" s="605"/>
      <c r="B3705" s="568"/>
    </row>
    <row r="3706" spans="1:2" ht="12" customHeight="1">
      <c r="A3706" s="605"/>
      <c r="B3706" s="568"/>
    </row>
    <row r="3707" spans="1:2" ht="12" customHeight="1">
      <c r="A3707" s="605"/>
      <c r="B3707" s="568"/>
    </row>
    <row r="3708" spans="1:2" ht="12" customHeight="1">
      <c r="A3708" s="605"/>
      <c r="B3708" s="568"/>
    </row>
    <row r="3709" spans="1:2" ht="12" customHeight="1">
      <c r="A3709" s="605"/>
      <c r="B3709" s="568"/>
    </row>
    <row r="3710" spans="1:2" ht="12" customHeight="1">
      <c r="A3710" s="605"/>
      <c r="B3710" s="568"/>
    </row>
    <row r="3711" spans="1:2" ht="12" customHeight="1">
      <c r="A3711" s="605"/>
      <c r="B3711" s="568"/>
    </row>
    <row r="3712" spans="1:2" ht="12" customHeight="1">
      <c r="A3712" s="605"/>
      <c r="B3712" s="568"/>
    </row>
    <row r="3713" spans="1:2" ht="12" customHeight="1">
      <c r="A3713" s="605"/>
      <c r="B3713" s="568"/>
    </row>
    <row r="3714" spans="1:2" ht="12" customHeight="1">
      <c r="A3714" s="605"/>
      <c r="B3714" s="568"/>
    </row>
    <row r="3715" spans="1:2" ht="12" customHeight="1">
      <c r="A3715" s="605"/>
      <c r="B3715" s="568"/>
    </row>
    <row r="3716" spans="1:2" ht="12" customHeight="1">
      <c r="A3716" s="605"/>
      <c r="B3716" s="568"/>
    </row>
    <row r="3717" spans="1:2" ht="12" customHeight="1">
      <c r="A3717" s="605"/>
      <c r="B3717" s="568"/>
    </row>
    <row r="3718" spans="1:2" ht="12" customHeight="1">
      <c r="A3718" s="605"/>
      <c r="B3718" s="568"/>
    </row>
    <row r="3719" spans="1:2" ht="12" customHeight="1">
      <c r="A3719" s="605"/>
      <c r="B3719" s="568"/>
    </row>
    <row r="3720" spans="1:2" ht="12" customHeight="1">
      <c r="A3720" s="605"/>
      <c r="B3720" s="568"/>
    </row>
    <row r="3721" spans="1:2" ht="12" customHeight="1">
      <c r="A3721" s="605"/>
      <c r="B3721" s="568"/>
    </row>
    <row r="3722" spans="1:2" ht="12" customHeight="1">
      <c r="A3722" s="605"/>
      <c r="B3722" s="568"/>
    </row>
    <row r="3723" spans="1:2" ht="12" customHeight="1">
      <c r="A3723" s="605"/>
      <c r="B3723" s="568"/>
    </row>
    <row r="3724" spans="1:2" ht="12" customHeight="1">
      <c r="A3724" s="605"/>
      <c r="B3724" s="568"/>
    </row>
    <row r="3725" spans="1:2" ht="12" customHeight="1">
      <c r="A3725" s="605"/>
      <c r="B3725" s="568"/>
    </row>
    <row r="3726" spans="1:2" ht="12" customHeight="1">
      <c r="A3726" s="605"/>
      <c r="B3726" s="568"/>
    </row>
    <row r="3727" spans="1:2" ht="12" customHeight="1">
      <c r="A3727" s="605"/>
      <c r="B3727" s="568"/>
    </row>
    <row r="3728" spans="1:2" ht="12" customHeight="1">
      <c r="A3728" s="605"/>
      <c r="B3728" s="568"/>
    </row>
    <row r="3729" spans="1:2" ht="12" customHeight="1">
      <c r="A3729" s="605"/>
      <c r="B3729" s="568"/>
    </row>
    <row r="3730" spans="1:2" ht="12" customHeight="1">
      <c r="A3730" s="605"/>
      <c r="B3730" s="568"/>
    </row>
    <row r="3731" spans="1:2" ht="12" customHeight="1">
      <c r="A3731" s="605"/>
      <c r="B3731" s="568"/>
    </row>
    <row r="3732" spans="1:2" ht="12" customHeight="1">
      <c r="A3732" s="605"/>
      <c r="B3732" s="568"/>
    </row>
    <row r="3733" spans="1:2" ht="12" customHeight="1">
      <c r="A3733" s="605"/>
      <c r="B3733" s="568"/>
    </row>
    <row r="3734" spans="1:2" ht="12" customHeight="1">
      <c r="A3734" s="605"/>
      <c r="B3734" s="568"/>
    </row>
    <row r="3735" spans="1:2" ht="12" customHeight="1">
      <c r="A3735" s="605"/>
      <c r="B3735" s="568"/>
    </row>
    <row r="3736" spans="1:2" ht="12" customHeight="1">
      <c r="A3736" s="605"/>
      <c r="B3736" s="568"/>
    </row>
    <row r="3737" spans="1:2" ht="12" customHeight="1">
      <c r="A3737" s="605"/>
      <c r="B3737" s="568"/>
    </row>
    <row r="3738" spans="1:2" ht="12" customHeight="1">
      <c r="A3738" s="605"/>
      <c r="B3738" s="568"/>
    </row>
    <row r="3739" spans="1:2" ht="12" customHeight="1">
      <c r="A3739" s="605"/>
      <c r="B3739" s="568"/>
    </row>
    <row r="3740" spans="1:2" ht="12" customHeight="1">
      <c r="A3740" s="605"/>
      <c r="B3740" s="568"/>
    </row>
    <row r="3741" spans="1:2" ht="12" customHeight="1">
      <c r="A3741" s="605"/>
      <c r="B3741" s="568"/>
    </row>
    <row r="3742" spans="1:2" ht="12" customHeight="1">
      <c r="A3742" s="605"/>
      <c r="B3742" s="568"/>
    </row>
    <row r="3743" spans="1:2" ht="12" customHeight="1">
      <c r="A3743" s="605"/>
      <c r="B3743" s="568"/>
    </row>
    <row r="3744" spans="1:2" ht="12" customHeight="1">
      <c r="A3744" s="605"/>
      <c r="B3744" s="568"/>
    </row>
    <row r="3745" spans="1:2" ht="12" customHeight="1">
      <c r="A3745" s="605"/>
      <c r="B3745" s="568"/>
    </row>
    <row r="3746" spans="1:2" ht="12" customHeight="1">
      <c r="A3746" s="605"/>
      <c r="B3746" s="568"/>
    </row>
    <row r="3747" spans="1:2" ht="12" customHeight="1">
      <c r="A3747" s="605"/>
      <c r="B3747" s="568"/>
    </row>
    <row r="3748" spans="1:2" ht="12" customHeight="1">
      <c r="A3748" s="605"/>
      <c r="B3748" s="568"/>
    </row>
    <row r="3749" spans="1:2" ht="12" customHeight="1">
      <c r="A3749" s="605"/>
      <c r="B3749" s="568"/>
    </row>
    <row r="3750" spans="1:2" ht="12" customHeight="1">
      <c r="A3750" s="605"/>
      <c r="B3750" s="568"/>
    </row>
    <row r="3751" spans="1:2" ht="12" customHeight="1">
      <c r="A3751" s="605"/>
      <c r="B3751" s="568"/>
    </row>
    <row r="3752" spans="1:2" ht="12" customHeight="1">
      <c r="A3752" s="605"/>
      <c r="B3752" s="568"/>
    </row>
    <row r="3753" spans="1:2" ht="12" customHeight="1">
      <c r="A3753" s="605"/>
      <c r="B3753" s="568"/>
    </row>
    <row r="3754" spans="1:2" ht="12" customHeight="1">
      <c r="A3754" s="605"/>
      <c r="B3754" s="568"/>
    </row>
    <row r="3755" spans="1:2" ht="12" customHeight="1">
      <c r="A3755" s="605"/>
      <c r="B3755" s="568"/>
    </row>
    <row r="3756" spans="1:2" ht="12" customHeight="1">
      <c r="A3756" s="605"/>
      <c r="B3756" s="568"/>
    </row>
    <row r="3757" spans="1:2" ht="12" customHeight="1">
      <c r="A3757" s="605"/>
      <c r="B3757" s="568"/>
    </row>
    <row r="3758" spans="1:2" ht="12" customHeight="1">
      <c r="A3758" s="605"/>
      <c r="B3758" s="568"/>
    </row>
    <row r="3759" spans="1:2" ht="12" customHeight="1">
      <c r="A3759" s="605"/>
      <c r="B3759" s="568"/>
    </row>
    <row r="3760" spans="1:2" ht="12" customHeight="1">
      <c r="A3760" s="605"/>
      <c r="B3760" s="568"/>
    </row>
    <row r="3761" spans="1:2" ht="12" customHeight="1">
      <c r="A3761" s="605"/>
      <c r="B3761" s="568"/>
    </row>
    <row r="3762" spans="1:2" ht="12" customHeight="1">
      <c r="A3762" s="605"/>
      <c r="B3762" s="568"/>
    </row>
    <row r="3763" spans="1:2" ht="12" customHeight="1">
      <c r="A3763" s="605"/>
      <c r="B3763" s="568"/>
    </row>
    <row r="3764" spans="1:2" ht="12" customHeight="1">
      <c r="A3764" s="605"/>
      <c r="B3764" s="568"/>
    </row>
    <row r="3765" spans="1:2" ht="12" customHeight="1">
      <c r="A3765" s="605"/>
      <c r="B3765" s="568"/>
    </row>
    <row r="3766" spans="1:2" ht="12" customHeight="1">
      <c r="A3766" s="605"/>
      <c r="B3766" s="568"/>
    </row>
    <row r="3767" spans="1:2" ht="12" customHeight="1">
      <c r="A3767" s="605"/>
      <c r="B3767" s="568"/>
    </row>
    <row r="3768" spans="1:2" ht="12" customHeight="1">
      <c r="A3768" s="605"/>
      <c r="B3768" s="568"/>
    </row>
    <row r="3769" spans="1:2" ht="12" customHeight="1">
      <c r="A3769" s="605"/>
      <c r="B3769" s="568"/>
    </row>
    <row r="3770" spans="1:2" ht="12" customHeight="1">
      <c r="A3770" s="605"/>
      <c r="B3770" s="568"/>
    </row>
    <row r="3771" spans="1:2" ht="12" customHeight="1">
      <c r="A3771" s="605"/>
      <c r="B3771" s="568"/>
    </row>
    <row r="3772" spans="1:2" ht="12" customHeight="1">
      <c r="A3772" s="605"/>
      <c r="B3772" s="568"/>
    </row>
    <row r="3773" spans="1:2" ht="12" customHeight="1">
      <c r="A3773" s="605"/>
      <c r="B3773" s="568"/>
    </row>
    <row r="3774" spans="1:2" ht="12" customHeight="1">
      <c r="A3774" s="605"/>
      <c r="B3774" s="568"/>
    </row>
    <row r="3775" spans="1:2" ht="12" customHeight="1">
      <c r="A3775" s="605"/>
      <c r="B3775" s="568"/>
    </row>
    <row r="3776" spans="1:2" ht="12" customHeight="1">
      <c r="A3776" s="605"/>
      <c r="B3776" s="568"/>
    </row>
    <row r="3777" spans="1:2" ht="12" customHeight="1">
      <c r="A3777" s="605"/>
      <c r="B3777" s="568"/>
    </row>
    <row r="3778" spans="1:2" ht="12" customHeight="1">
      <c r="A3778" s="605"/>
      <c r="B3778" s="568"/>
    </row>
    <row r="3779" spans="1:2" ht="12" customHeight="1">
      <c r="A3779" s="605"/>
      <c r="B3779" s="568"/>
    </row>
    <row r="3780" spans="1:2" ht="12" customHeight="1">
      <c r="A3780" s="605"/>
      <c r="B3780" s="568"/>
    </row>
    <row r="3781" spans="1:2" ht="12" customHeight="1">
      <c r="A3781" s="605"/>
      <c r="B3781" s="568"/>
    </row>
    <row r="3782" spans="1:2" ht="12" customHeight="1">
      <c r="A3782" s="605"/>
      <c r="B3782" s="568"/>
    </row>
    <row r="3783" spans="1:2" ht="12" customHeight="1">
      <c r="A3783" s="605"/>
      <c r="B3783" s="568"/>
    </row>
    <row r="3784" spans="1:2" ht="12" customHeight="1">
      <c r="A3784" s="605"/>
      <c r="B3784" s="568"/>
    </row>
    <row r="3785" spans="1:2" ht="12" customHeight="1">
      <c r="A3785" s="605"/>
      <c r="B3785" s="568"/>
    </row>
    <row r="3786" spans="1:2" ht="12" customHeight="1">
      <c r="A3786" s="605"/>
      <c r="B3786" s="568"/>
    </row>
    <row r="3787" spans="1:2" ht="12" customHeight="1">
      <c r="A3787" s="605"/>
      <c r="B3787" s="568"/>
    </row>
    <row r="3788" spans="1:2" ht="12" customHeight="1">
      <c r="A3788" s="605"/>
      <c r="B3788" s="568"/>
    </row>
    <row r="3789" spans="1:2" ht="12" customHeight="1">
      <c r="A3789" s="605"/>
      <c r="B3789" s="568"/>
    </row>
    <row r="3790" spans="1:2" ht="12" customHeight="1">
      <c r="A3790" s="605"/>
      <c r="B3790" s="568"/>
    </row>
    <row r="3791" spans="1:2" ht="12" customHeight="1">
      <c r="A3791" s="605"/>
      <c r="B3791" s="568"/>
    </row>
    <row r="3792" spans="1:2" ht="12" customHeight="1">
      <c r="A3792" s="605"/>
      <c r="B3792" s="568"/>
    </row>
    <row r="3793" spans="1:2" ht="12" customHeight="1">
      <c r="A3793" s="605"/>
      <c r="B3793" s="568"/>
    </row>
    <row r="3794" spans="1:2" ht="12" customHeight="1">
      <c r="A3794" s="605"/>
      <c r="B3794" s="568"/>
    </row>
    <row r="3795" spans="1:2" ht="12" customHeight="1">
      <c r="A3795" s="605"/>
      <c r="B3795" s="568"/>
    </row>
    <row r="3796" spans="1:2" ht="12" customHeight="1">
      <c r="A3796" s="605"/>
      <c r="B3796" s="568"/>
    </row>
    <row r="3797" spans="1:2" ht="12" customHeight="1">
      <c r="A3797" s="605"/>
      <c r="B3797" s="568"/>
    </row>
    <row r="3798" spans="1:2" ht="12" customHeight="1">
      <c r="A3798" s="605"/>
      <c r="B3798" s="568"/>
    </row>
    <row r="3799" spans="1:2" ht="12" customHeight="1">
      <c r="A3799" s="605"/>
      <c r="B3799" s="568"/>
    </row>
    <row r="3800" spans="1:2" ht="12" customHeight="1">
      <c r="A3800" s="605"/>
      <c r="B3800" s="568"/>
    </row>
    <row r="3801" spans="1:2" ht="12" customHeight="1">
      <c r="A3801" s="605"/>
      <c r="B3801" s="568"/>
    </row>
    <row r="3802" spans="1:2" ht="12" customHeight="1">
      <c r="A3802" s="605"/>
      <c r="B3802" s="568"/>
    </row>
    <row r="3803" spans="1:2" ht="12" customHeight="1">
      <c r="A3803" s="605"/>
      <c r="B3803" s="568"/>
    </row>
    <row r="3804" spans="1:2" ht="12" customHeight="1">
      <c r="A3804" s="605"/>
      <c r="B3804" s="568"/>
    </row>
    <row r="3805" spans="1:2" ht="12" customHeight="1">
      <c r="A3805" s="605"/>
      <c r="B3805" s="568"/>
    </row>
    <row r="3806" spans="1:2" ht="12" customHeight="1">
      <c r="A3806" s="605"/>
      <c r="B3806" s="568"/>
    </row>
    <row r="3807" spans="1:2" ht="12" customHeight="1">
      <c r="A3807" s="605"/>
      <c r="B3807" s="568"/>
    </row>
    <row r="3808" spans="1:2" ht="12" customHeight="1">
      <c r="A3808" s="605"/>
      <c r="B3808" s="568"/>
    </row>
    <row r="3809" spans="1:2" ht="12" customHeight="1">
      <c r="A3809" s="605"/>
      <c r="B3809" s="568"/>
    </row>
    <row r="3810" spans="1:2" ht="12" customHeight="1">
      <c r="A3810" s="605"/>
      <c r="B3810" s="568"/>
    </row>
    <row r="3811" spans="1:2" ht="12" customHeight="1">
      <c r="A3811" s="605"/>
      <c r="B3811" s="568"/>
    </row>
    <row r="3812" spans="1:2" ht="12" customHeight="1">
      <c r="A3812" s="605"/>
      <c r="B3812" s="568"/>
    </row>
    <row r="3813" spans="1:2" ht="12" customHeight="1">
      <c r="A3813" s="605"/>
      <c r="B3813" s="568"/>
    </row>
    <row r="3814" spans="1:2" ht="12" customHeight="1">
      <c r="A3814" s="605"/>
      <c r="B3814" s="568"/>
    </row>
    <row r="3815" spans="1:2" ht="12" customHeight="1">
      <c r="A3815" s="605"/>
      <c r="B3815" s="568"/>
    </row>
    <row r="3816" spans="1:2" ht="12" customHeight="1">
      <c r="A3816" s="605"/>
      <c r="B3816" s="568"/>
    </row>
    <row r="3817" spans="1:2" ht="12" customHeight="1">
      <c r="A3817" s="605"/>
      <c r="B3817" s="568"/>
    </row>
    <row r="3818" spans="1:2" ht="12" customHeight="1">
      <c r="A3818" s="605"/>
      <c r="B3818" s="568"/>
    </row>
    <row r="3819" spans="1:2" ht="12" customHeight="1">
      <c r="A3819" s="605"/>
      <c r="B3819" s="568"/>
    </row>
    <row r="3820" spans="1:2" ht="12" customHeight="1">
      <c r="A3820" s="605"/>
      <c r="B3820" s="568"/>
    </row>
    <row r="3821" spans="1:2" ht="12" customHeight="1">
      <c r="A3821" s="605"/>
      <c r="B3821" s="568"/>
    </row>
    <row r="3822" spans="1:2" ht="12" customHeight="1">
      <c r="A3822" s="605"/>
      <c r="B3822" s="568"/>
    </row>
    <row r="3823" spans="1:2" ht="12" customHeight="1">
      <c r="A3823" s="605"/>
      <c r="B3823" s="568"/>
    </row>
    <row r="3824" spans="1:2" ht="12" customHeight="1">
      <c r="A3824" s="605"/>
      <c r="B3824" s="568"/>
    </row>
    <row r="3825" spans="1:2" ht="12" customHeight="1">
      <c r="A3825" s="605"/>
      <c r="B3825" s="568"/>
    </row>
    <row r="3826" spans="1:2" ht="12" customHeight="1">
      <c r="A3826" s="605"/>
      <c r="B3826" s="568"/>
    </row>
    <row r="3827" spans="1:2" ht="12" customHeight="1">
      <c r="A3827" s="605"/>
      <c r="B3827" s="568"/>
    </row>
    <row r="3828" spans="1:2" ht="12" customHeight="1">
      <c r="A3828" s="605"/>
      <c r="B3828" s="568"/>
    </row>
    <row r="3829" spans="1:2" ht="12" customHeight="1">
      <c r="A3829" s="605"/>
      <c r="B3829" s="568"/>
    </row>
    <row r="3830" spans="1:2" ht="12" customHeight="1">
      <c r="A3830" s="605"/>
      <c r="B3830" s="568"/>
    </row>
    <row r="3831" spans="1:2" ht="12" customHeight="1">
      <c r="A3831" s="605"/>
      <c r="B3831" s="568"/>
    </row>
    <row r="3832" spans="1:2" ht="12" customHeight="1">
      <c r="A3832" s="605"/>
      <c r="B3832" s="568"/>
    </row>
    <row r="3833" spans="1:2" ht="12" customHeight="1">
      <c r="A3833" s="605"/>
      <c r="B3833" s="568"/>
    </row>
    <row r="3834" spans="1:2" ht="12" customHeight="1">
      <c r="A3834" s="605"/>
      <c r="B3834" s="568"/>
    </row>
    <row r="3835" spans="1:2" ht="12" customHeight="1">
      <c r="A3835" s="605"/>
      <c r="B3835" s="568"/>
    </row>
    <row r="3836" spans="1:2" ht="12" customHeight="1">
      <c r="A3836" s="605"/>
      <c r="B3836" s="568"/>
    </row>
    <row r="3837" spans="1:2" ht="12" customHeight="1">
      <c r="A3837" s="605"/>
      <c r="B3837" s="568"/>
    </row>
    <row r="3838" spans="1:2" ht="12" customHeight="1">
      <c r="A3838" s="605"/>
      <c r="B3838" s="568"/>
    </row>
    <row r="3839" spans="1:2" ht="12" customHeight="1">
      <c r="A3839" s="605"/>
      <c r="B3839" s="568"/>
    </row>
    <row r="3840" spans="1:2" ht="12" customHeight="1">
      <c r="A3840" s="605"/>
      <c r="B3840" s="568"/>
    </row>
    <row r="3841" spans="1:2" ht="12" customHeight="1">
      <c r="A3841" s="605"/>
      <c r="B3841" s="568"/>
    </row>
    <row r="3842" spans="1:2" ht="12" customHeight="1">
      <c r="A3842" s="605"/>
      <c r="B3842" s="568"/>
    </row>
    <row r="3843" spans="1:2" ht="12" customHeight="1">
      <c r="A3843" s="605"/>
      <c r="B3843" s="568"/>
    </row>
    <row r="3844" spans="1:2" ht="12" customHeight="1">
      <c r="A3844" s="605"/>
      <c r="B3844" s="568"/>
    </row>
    <row r="3845" spans="1:2" ht="12" customHeight="1">
      <c r="A3845" s="605"/>
      <c r="B3845" s="568"/>
    </row>
    <row r="3846" spans="1:2" ht="12" customHeight="1">
      <c r="A3846" s="605"/>
      <c r="B3846" s="568"/>
    </row>
    <row r="3847" spans="1:2" ht="12" customHeight="1">
      <c r="A3847" s="605"/>
      <c r="B3847" s="568"/>
    </row>
    <row r="3848" spans="1:2" ht="12" customHeight="1">
      <c r="A3848" s="605"/>
      <c r="B3848" s="568"/>
    </row>
    <row r="3849" spans="1:2" ht="12" customHeight="1">
      <c r="A3849" s="605"/>
      <c r="B3849" s="568"/>
    </row>
    <row r="3850" spans="1:2" ht="12" customHeight="1">
      <c r="A3850" s="605"/>
      <c r="B3850" s="568"/>
    </row>
    <row r="3851" spans="1:2" ht="12" customHeight="1">
      <c r="A3851" s="605"/>
      <c r="B3851" s="568"/>
    </row>
    <row r="3852" spans="1:2" ht="12" customHeight="1">
      <c r="A3852" s="605"/>
      <c r="B3852" s="568"/>
    </row>
    <row r="3853" spans="1:2" ht="12" customHeight="1">
      <c r="A3853" s="605"/>
      <c r="B3853" s="568"/>
    </row>
    <row r="3854" spans="1:2" ht="12" customHeight="1">
      <c r="A3854" s="605"/>
      <c r="B3854" s="568"/>
    </row>
    <row r="3855" spans="1:2" ht="12" customHeight="1">
      <c r="A3855" s="605"/>
      <c r="B3855" s="568"/>
    </row>
    <row r="3856" spans="1:2" ht="12" customHeight="1">
      <c r="A3856" s="605"/>
      <c r="B3856" s="568"/>
    </row>
    <row r="3857" spans="1:2" ht="12" customHeight="1">
      <c r="A3857" s="605"/>
      <c r="B3857" s="568"/>
    </row>
    <row r="3858" spans="1:2" ht="12" customHeight="1">
      <c r="A3858" s="605"/>
      <c r="B3858" s="568"/>
    </row>
    <row r="3859" spans="1:2" ht="12" customHeight="1">
      <c r="A3859" s="605"/>
      <c r="B3859" s="568"/>
    </row>
    <row r="3860" spans="1:2" ht="12" customHeight="1">
      <c r="A3860" s="605"/>
      <c r="B3860" s="568"/>
    </row>
    <row r="3861" spans="1:2" ht="12" customHeight="1">
      <c r="A3861" s="605"/>
      <c r="B3861" s="568"/>
    </row>
    <row r="3862" spans="1:2" ht="12" customHeight="1">
      <c r="A3862" s="605"/>
      <c r="B3862" s="568"/>
    </row>
    <row r="3863" spans="1:2" ht="12" customHeight="1">
      <c r="A3863" s="605"/>
      <c r="B3863" s="568"/>
    </row>
    <row r="3864" spans="1:2" ht="12" customHeight="1">
      <c r="A3864" s="605"/>
      <c r="B3864" s="568"/>
    </row>
    <row r="3865" spans="1:2" ht="12" customHeight="1">
      <c r="A3865" s="605"/>
      <c r="B3865" s="568"/>
    </row>
    <row r="3866" spans="1:2" ht="12" customHeight="1">
      <c r="A3866" s="605"/>
      <c r="B3866" s="568"/>
    </row>
    <row r="3867" spans="1:2" ht="12" customHeight="1">
      <c r="A3867" s="605"/>
      <c r="B3867" s="568"/>
    </row>
    <row r="3868" spans="1:2" ht="12" customHeight="1">
      <c r="A3868" s="605"/>
      <c r="B3868" s="568"/>
    </row>
    <row r="3869" spans="1:2" ht="12" customHeight="1">
      <c r="A3869" s="605"/>
      <c r="B3869" s="568"/>
    </row>
    <row r="3870" spans="1:2" ht="12" customHeight="1">
      <c r="A3870" s="605"/>
      <c r="B3870" s="568"/>
    </row>
    <row r="3871" spans="1:2" ht="12" customHeight="1">
      <c r="A3871" s="605"/>
      <c r="B3871" s="568"/>
    </row>
    <row r="3872" spans="1:2" ht="12" customHeight="1">
      <c r="A3872" s="605"/>
      <c r="B3872" s="568"/>
    </row>
    <row r="3873" spans="1:2" ht="12" customHeight="1">
      <c r="A3873" s="605"/>
      <c r="B3873" s="568"/>
    </row>
    <row r="3874" spans="1:2" ht="12" customHeight="1">
      <c r="A3874" s="605"/>
      <c r="B3874" s="568"/>
    </row>
    <row r="3875" spans="1:2" ht="12" customHeight="1">
      <c r="A3875" s="605"/>
      <c r="B3875" s="568"/>
    </row>
    <row r="3876" spans="1:2" ht="12" customHeight="1">
      <c r="A3876" s="605"/>
      <c r="B3876" s="568"/>
    </row>
    <row r="3877" spans="1:2" ht="12" customHeight="1">
      <c r="A3877" s="605"/>
      <c r="B3877" s="568"/>
    </row>
    <row r="3878" spans="1:2" ht="12" customHeight="1">
      <c r="A3878" s="605"/>
      <c r="B3878" s="568"/>
    </row>
    <row r="3879" spans="1:2" ht="12" customHeight="1">
      <c r="A3879" s="605"/>
      <c r="B3879" s="568"/>
    </row>
    <row r="3880" spans="1:2" ht="12" customHeight="1">
      <c r="A3880" s="605"/>
      <c r="B3880" s="568"/>
    </row>
    <row r="3881" spans="1:2" ht="12" customHeight="1">
      <c r="A3881" s="605"/>
      <c r="B3881" s="568"/>
    </row>
    <row r="3882" spans="1:2" ht="12" customHeight="1">
      <c r="A3882" s="605"/>
      <c r="B3882" s="568"/>
    </row>
    <row r="3883" spans="1:2" ht="12" customHeight="1">
      <c r="A3883" s="605"/>
      <c r="B3883" s="568"/>
    </row>
    <row r="3884" spans="1:2" ht="12" customHeight="1">
      <c r="A3884" s="605"/>
      <c r="B3884" s="568"/>
    </row>
    <row r="3885" spans="1:2" ht="12" customHeight="1">
      <c r="A3885" s="605"/>
      <c r="B3885" s="568"/>
    </row>
    <row r="3886" spans="1:2" ht="12" customHeight="1">
      <c r="A3886" s="605"/>
      <c r="B3886" s="568"/>
    </row>
    <row r="3887" spans="1:2" ht="12" customHeight="1">
      <c r="A3887" s="605"/>
      <c r="B3887" s="568"/>
    </row>
    <row r="3888" spans="1:2" ht="12" customHeight="1">
      <c r="A3888" s="605"/>
      <c r="B3888" s="568"/>
    </row>
    <row r="3889" spans="1:2" ht="12" customHeight="1">
      <c r="A3889" s="605"/>
      <c r="B3889" s="568"/>
    </row>
    <row r="3890" spans="1:2" ht="12" customHeight="1">
      <c r="A3890" s="605"/>
      <c r="B3890" s="568"/>
    </row>
    <row r="3891" spans="1:2" ht="12" customHeight="1">
      <c r="A3891" s="605"/>
      <c r="B3891" s="568"/>
    </row>
    <row r="3892" spans="1:2" ht="12" customHeight="1">
      <c r="A3892" s="605"/>
      <c r="B3892" s="568"/>
    </row>
    <row r="3893" spans="1:2" ht="12" customHeight="1">
      <c r="A3893" s="605"/>
      <c r="B3893" s="568"/>
    </row>
    <row r="3894" spans="1:2" ht="12" customHeight="1">
      <c r="A3894" s="605"/>
      <c r="B3894" s="568"/>
    </row>
    <row r="3895" spans="1:2" ht="12" customHeight="1">
      <c r="A3895" s="605"/>
      <c r="B3895" s="568"/>
    </row>
    <row r="3896" spans="1:2" ht="12" customHeight="1">
      <c r="A3896" s="605"/>
      <c r="B3896" s="568"/>
    </row>
    <row r="3897" spans="1:2" ht="12" customHeight="1">
      <c r="A3897" s="605"/>
      <c r="B3897" s="568"/>
    </row>
    <row r="3898" spans="1:2" ht="12" customHeight="1">
      <c r="A3898" s="605"/>
      <c r="B3898" s="568"/>
    </row>
    <row r="3899" spans="1:2" ht="12" customHeight="1">
      <c r="A3899" s="605"/>
      <c r="B3899" s="568"/>
    </row>
    <row r="3900" spans="1:2" ht="12" customHeight="1">
      <c r="A3900" s="605"/>
      <c r="B3900" s="568"/>
    </row>
    <row r="3901" spans="1:2" ht="12" customHeight="1">
      <c r="A3901" s="605"/>
      <c r="B3901" s="568"/>
    </row>
    <row r="3902" spans="1:2" ht="12" customHeight="1">
      <c r="A3902" s="605"/>
      <c r="B3902" s="568"/>
    </row>
    <row r="3903" spans="1:2" ht="12" customHeight="1">
      <c r="A3903" s="605"/>
      <c r="B3903" s="568"/>
    </row>
    <row r="3904" spans="1:2" ht="12" customHeight="1">
      <c r="A3904" s="605"/>
      <c r="B3904" s="568"/>
    </row>
    <row r="3905" spans="1:2" ht="12" customHeight="1">
      <c r="A3905" s="605"/>
      <c r="B3905" s="568"/>
    </row>
    <row r="3906" spans="1:2" ht="12" customHeight="1">
      <c r="A3906" s="605"/>
      <c r="B3906" s="568"/>
    </row>
    <row r="3907" spans="1:2" ht="12" customHeight="1">
      <c r="A3907" s="605"/>
      <c r="B3907" s="568"/>
    </row>
    <row r="3908" spans="1:2" ht="12" customHeight="1">
      <c r="A3908" s="605"/>
      <c r="B3908" s="568"/>
    </row>
    <row r="3909" spans="1:2" ht="12" customHeight="1">
      <c r="A3909" s="605"/>
      <c r="B3909" s="568"/>
    </row>
    <row r="3910" spans="1:2" ht="12" customHeight="1">
      <c r="A3910" s="605"/>
      <c r="B3910" s="568"/>
    </row>
    <row r="3911" spans="1:2" ht="12" customHeight="1">
      <c r="A3911" s="605"/>
      <c r="B3911" s="568"/>
    </row>
    <row r="3912" spans="1:2" ht="12" customHeight="1">
      <c r="A3912" s="605"/>
      <c r="B3912" s="568"/>
    </row>
    <row r="3913" spans="1:2" ht="12" customHeight="1">
      <c r="A3913" s="605"/>
      <c r="B3913" s="568"/>
    </row>
    <row r="3914" spans="1:2" ht="12" customHeight="1">
      <c r="A3914" s="605"/>
      <c r="B3914" s="568"/>
    </row>
    <row r="3915" spans="1:2" ht="12" customHeight="1">
      <c r="A3915" s="605"/>
      <c r="B3915" s="568"/>
    </row>
    <row r="3916" spans="1:2" ht="12" customHeight="1">
      <c r="A3916" s="605"/>
      <c r="B3916" s="568"/>
    </row>
    <row r="3917" spans="1:2" ht="12" customHeight="1">
      <c r="A3917" s="605"/>
      <c r="B3917" s="568"/>
    </row>
    <row r="3918" spans="1:2" ht="12" customHeight="1">
      <c r="A3918" s="605"/>
      <c r="B3918" s="568"/>
    </row>
    <row r="3919" spans="1:2" ht="12" customHeight="1">
      <c r="A3919" s="605"/>
      <c r="B3919" s="568"/>
    </row>
    <row r="3920" spans="1:2" ht="12" customHeight="1">
      <c r="A3920" s="605"/>
      <c r="B3920" s="568"/>
    </row>
    <row r="3921" spans="1:2" ht="12" customHeight="1">
      <c r="A3921" s="605"/>
      <c r="B3921" s="568"/>
    </row>
    <row r="3922" spans="1:2" ht="12" customHeight="1">
      <c r="A3922" s="605"/>
      <c r="B3922" s="568"/>
    </row>
    <row r="3923" spans="1:2" ht="12" customHeight="1">
      <c r="A3923" s="605"/>
      <c r="B3923" s="568"/>
    </row>
    <row r="3924" spans="1:2" ht="12" customHeight="1">
      <c r="A3924" s="605"/>
      <c r="B3924" s="568"/>
    </row>
    <row r="3925" spans="1:2" ht="12" customHeight="1">
      <c r="A3925" s="605"/>
      <c r="B3925" s="568"/>
    </row>
    <row r="3926" spans="1:2" ht="12" customHeight="1">
      <c r="A3926" s="605"/>
      <c r="B3926" s="568"/>
    </row>
    <row r="3927" spans="1:2" ht="12" customHeight="1">
      <c r="A3927" s="605"/>
      <c r="B3927" s="568"/>
    </row>
    <row r="3928" spans="1:2" ht="12" customHeight="1">
      <c r="A3928" s="605"/>
      <c r="B3928" s="568"/>
    </row>
    <row r="3929" spans="1:2" ht="12" customHeight="1">
      <c r="A3929" s="605"/>
      <c r="B3929" s="568"/>
    </row>
    <row r="3930" spans="1:2" ht="12" customHeight="1">
      <c r="A3930" s="605"/>
      <c r="B3930" s="568"/>
    </row>
    <row r="3931" spans="1:2" ht="12" customHeight="1">
      <c r="A3931" s="605"/>
      <c r="B3931" s="568"/>
    </row>
    <row r="3932" spans="1:2" ht="12" customHeight="1">
      <c r="A3932" s="605"/>
      <c r="B3932" s="568"/>
    </row>
    <row r="3933" spans="1:2" ht="12" customHeight="1">
      <c r="A3933" s="605"/>
      <c r="B3933" s="568"/>
    </row>
    <row r="3934" spans="1:2" ht="12" customHeight="1">
      <c r="A3934" s="605"/>
      <c r="B3934" s="568"/>
    </row>
    <row r="3935" spans="1:2" ht="12" customHeight="1">
      <c r="A3935" s="605"/>
      <c r="B3935" s="568"/>
    </row>
    <row r="3936" spans="1:2" ht="12" customHeight="1">
      <c r="A3936" s="605"/>
      <c r="B3936" s="568"/>
    </row>
    <row r="3937" spans="1:4" ht="12" customHeight="1">
      <c r="A3937" s="605"/>
      <c r="B3937" s="568"/>
    </row>
    <row r="3938" spans="1:4" ht="12" customHeight="1">
      <c r="A3938" s="605"/>
      <c r="B3938" s="568"/>
    </row>
    <row r="3939" spans="1:4" ht="12" customHeight="1">
      <c r="A3939" s="605"/>
      <c r="B3939" s="568"/>
    </row>
    <row r="3940" spans="1:4" ht="12" customHeight="1">
      <c r="A3940" s="605"/>
      <c r="B3940" s="568"/>
    </row>
    <row r="3941" spans="1:4" ht="12" customHeight="1">
      <c r="A3941" s="605"/>
      <c r="B3941" s="568"/>
    </row>
    <row r="3942" spans="1:4" ht="12" customHeight="1">
      <c r="A3942" s="605"/>
      <c r="B3942" s="568"/>
    </row>
    <row r="3943" spans="1:4" ht="12" customHeight="1">
      <c r="A3943" s="605"/>
      <c r="B3943" s="568"/>
    </row>
    <row r="3944" spans="1:4" ht="12" customHeight="1">
      <c r="A3944" s="605"/>
      <c r="B3944" s="568"/>
    </row>
    <row r="3945" spans="1:4" ht="12" customHeight="1">
      <c r="A3945" s="605"/>
      <c r="B3945" s="568"/>
    </row>
    <row r="3946" spans="1:4" ht="12" customHeight="1">
      <c r="A3946" s="605"/>
      <c r="B3946" s="568"/>
    </row>
    <row r="3947" spans="1:4" ht="12" customHeight="1">
      <c r="A3947" s="605"/>
      <c r="B3947" s="568"/>
    </row>
    <row r="3948" spans="1:4" ht="12" customHeight="1">
      <c r="A3948" s="605"/>
      <c r="B3948" s="568"/>
    </row>
    <row r="3949" spans="1:4" ht="12" customHeight="1">
      <c r="A3949" s="605"/>
      <c r="B3949" s="568"/>
      <c r="D3949" s="101" t="s">
        <v>568</v>
      </c>
    </row>
  </sheetData>
  <sheetProtection password="CC3B" sheet="1" objects="1" scenarios="1"/>
  <mergeCells count="10">
    <mergeCell ref="L286:N286"/>
    <mergeCell ref="P285:X285"/>
    <mergeCell ref="A89:E89"/>
    <mergeCell ref="D287:E287"/>
    <mergeCell ref="A190:J190"/>
    <mergeCell ref="A191:J191"/>
    <mergeCell ref="A90:J90"/>
    <mergeCell ref="A216:J216"/>
    <mergeCell ref="A217:J217"/>
    <mergeCell ref="D146:E146"/>
  </mergeCells>
  <phoneticPr fontId="2" type="noConversion"/>
  <hyperlinks>
    <hyperlink ref="L1" location="Contents!A1" display="Return to Contents page"/>
  </hyperlinks>
  <printOptions horizontalCentered="1"/>
  <pageMargins left="0.25" right="0.25" top="0.5" bottom="0.5" header="0.5" footer="0.5"/>
  <pageSetup scale="80" orientation="portrait" blackAndWhite="1"/>
  <headerFooter alignWithMargins="0">
    <oddFooter>&amp;L&amp;D     &amp;T    &amp;CForm 150&amp;RPage &amp;P</oddFooter>
  </headerFooter>
  <rowBreaks count="3" manualBreakCount="3">
    <brk id="72" max="16383" man="1"/>
    <brk id="145" max="9" man="1"/>
    <brk id="214" max="16383" man="1"/>
  </rowBreaks>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22</vt:i4>
      </vt:variant>
    </vt:vector>
  </HeadingPairs>
  <TitlesOfParts>
    <vt:vector size="40" baseType="lpstr">
      <vt:lpstr>Contents</vt:lpstr>
      <vt:lpstr>Headings</vt:lpstr>
      <vt:lpstr>Salaries</vt:lpstr>
      <vt:lpstr>Certify</vt:lpstr>
      <vt:lpstr>F110</vt:lpstr>
      <vt:lpstr>F118</vt:lpstr>
      <vt:lpstr>F148</vt:lpstr>
      <vt:lpstr>F149</vt:lpstr>
      <vt:lpstr>F150</vt:lpstr>
      <vt:lpstr>F155</vt:lpstr>
      <vt:lpstr>F162</vt:lpstr>
      <vt:lpstr>F194</vt:lpstr>
      <vt:lpstr>F195</vt:lpstr>
      <vt:lpstr>F239</vt:lpstr>
      <vt:lpstr>F241A</vt:lpstr>
      <vt:lpstr>F250</vt:lpstr>
      <vt:lpstr>AMEND</vt:lpstr>
      <vt:lpstr>CashBalances</vt:lpstr>
      <vt:lpstr>CC.P</vt:lpstr>
      <vt:lpstr>Criteria</vt:lpstr>
      <vt:lpstr>Form_4_212_150</vt:lpstr>
      <vt:lpstr>AMEND!Print_Area</vt:lpstr>
      <vt:lpstr>CashBalances!Print_Area</vt:lpstr>
      <vt:lpstr>Certify!Print_Area</vt:lpstr>
      <vt:lpstr>Contents!Print_Area</vt:lpstr>
      <vt:lpstr>'F110'!Print_Area</vt:lpstr>
      <vt:lpstr>'F118'!Print_Area</vt:lpstr>
      <vt:lpstr>'F148'!Print_Area</vt:lpstr>
      <vt:lpstr>'F149'!Print_Area</vt:lpstr>
      <vt:lpstr>'F150'!Print_Area</vt:lpstr>
      <vt:lpstr>'F155'!Print_Area</vt:lpstr>
      <vt:lpstr>'F162'!Print_Area</vt:lpstr>
      <vt:lpstr>'F194'!Print_Area</vt:lpstr>
      <vt:lpstr>'F195'!Print_Area</vt:lpstr>
      <vt:lpstr>'F239'!Print_Area</vt:lpstr>
      <vt:lpstr>F241A!Print_Area</vt:lpstr>
      <vt:lpstr>'F250'!Print_Area</vt:lpstr>
      <vt:lpstr>Headings!Print_Area</vt:lpstr>
      <vt:lpstr>Salaries!Print_Area</vt:lpstr>
      <vt:lpstr>USD</vt:lpstr>
    </vt:vector>
  </TitlesOfParts>
  <Company>Kansas Department of Education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dreinert</dc:creator>
  <cp:lastModifiedBy> </cp:lastModifiedBy>
  <cp:lastPrinted>2011-08-22T16:44:54Z</cp:lastPrinted>
  <dcterms:created xsi:type="dcterms:W3CDTF">2002-06-10T17:01:41Z</dcterms:created>
  <dcterms:modified xsi:type="dcterms:W3CDTF">2011-09-27T13:50:32Z</dcterms:modified>
</cp:coreProperties>
</file>